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2.xml" ContentType="application/vnd.openxmlformats-officedocument.drawing+xml"/>
  <Override PartName="/xl/comments19.xml" ContentType="application/vnd.openxmlformats-officedocument.spreadsheetml.comments+xml"/>
  <Override PartName="/xl/drawings/drawing3.xml" ContentType="application/vnd.openxmlformats-officedocument.drawing+xml"/>
  <Override PartName="/xl/comments20.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pivotTables/pivotTable4.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21.xml" ContentType="application/vnd.openxmlformats-officedocument.spreadsheetml.comments+xml"/>
  <Override PartName="/xl/pivotTables/pivotTable5.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mc:AlternateContent xmlns:mc="http://schemas.openxmlformats.org/markup-compatibility/2006">
    <mc:Choice Requires="x15">
      <x15ac:absPath xmlns:x15ac="http://schemas.microsoft.com/office/spreadsheetml/2010/11/ac" url="S:\CPM\Quality_Mgmt\Performance Measures\LME-MCO Perf Measure Specs\"/>
    </mc:Choice>
  </mc:AlternateContent>
  <xr:revisionPtr revIDLastSave="0" documentId="8_{7E435738-6ED0-464E-A3FA-8E60EE809685}" xr6:coauthVersionLast="45" xr6:coauthVersionMax="45" xr10:uidLastSave="{00000000-0000-0000-0000-000000000000}"/>
  <bookViews>
    <workbookView xWindow="-120" yWindow="-120" windowWidth="29040" windowHeight="15225" tabRatio="708" xr2:uid="{00000000-000D-0000-FFFF-FFFF00000000}"/>
  </bookViews>
  <sheets>
    <sheet name="Set-Up Worksheet" sheetId="29" r:id="rId1"/>
    <sheet name="Access 2.1" sheetId="87" r:id="rId2"/>
    <sheet name="Access 2.2 " sheetId="130" r:id="rId3"/>
    <sheet name="Access 2.3" sheetId="88" r:id="rId4"/>
    <sheet name="Penetration 3.1" sheetId="78" r:id="rId5"/>
    <sheet name="Penetration 3.2" sheetId="90" r:id="rId6"/>
    <sheet name="Initiation-Engagement 4.1.a" sheetId="33" r:id="rId7"/>
    <sheet name="Initiation-Engagement 4.1.b" sheetId="94" r:id="rId8"/>
    <sheet name="Initiation-Engagement 4.2.a" sheetId="119" r:id="rId9"/>
    <sheet name="Initiation-Engagement 4.2.b" sheetId="96" r:id="rId10"/>
    <sheet name="Crisis &amp; Inpatient 5.1" sheetId="97" r:id="rId11"/>
    <sheet name="Crisis &amp; Inpatient 5.2" sheetId="98" r:id="rId12"/>
    <sheet name="Crisis &amp; Inpatient 5.3" sheetId="99" r:id="rId13"/>
    <sheet name="Crisis &amp; Inpatient 5.4" sheetId="101" r:id="rId14"/>
    <sheet name="Crisis &amp; Inpatient 5.5" sheetId="102" r:id="rId15"/>
    <sheet name="Crisis &amp; Inpatient 5.6" sheetId="106" r:id="rId16"/>
    <sheet name="Crisis &amp; Inpatient 5.7.a" sheetId="107" r:id="rId17"/>
    <sheet name="Crisis &amp; Inpatient 5.7.b" sheetId="108" r:id="rId18"/>
    <sheet name="Crisis &amp; Inpatient 5.7.c" sheetId="109" r:id="rId19"/>
    <sheet name="Crisis &amp; Inpatient 5.7.d" sheetId="110" state="hidden" r:id="rId20"/>
    <sheet name="Crisis &amp; Inpatient 5.8" sheetId="111" r:id="rId21"/>
    <sheet name="Crisis &amp; Inpatient 5.9.a" sheetId="112" r:id="rId22"/>
    <sheet name="Crisis &amp; Inpatient 5.9.b" sheetId="113" r:id="rId23"/>
    <sheet name="Crisis &amp; Inpatient 5.9.c" sheetId="114" r:id="rId24"/>
    <sheet name="Continuity Of Care 6.1" sheetId="115" r:id="rId25"/>
    <sheet name="Continuity Of Care 6.2" sheetId="72" r:id="rId26"/>
    <sheet name="Continuity Of Care 6.3" sheetId="116" r:id="rId27"/>
    <sheet name="Continuity Of Care 6.4" sheetId="117" r:id="rId28"/>
    <sheet name="Continuity Of Care 6.5" sheetId="118" r:id="rId29"/>
    <sheet name="Continuity of Care 6.6" sheetId="79" r:id="rId30"/>
    <sheet name="Report Schedule" sheetId="105" r:id="rId31"/>
    <sheet name="Report Schedule (2)" sheetId="104" r:id="rId32"/>
    <sheet name="Uninsured By County SFY2017" sheetId="126" r:id="rId33"/>
    <sheet name="Pivot Table-Uninsured SFY2017" sheetId="127" r:id="rId34"/>
    <sheet name="Uninsured By County SFY2018" sheetId="128" r:id="rId35"/>
    <sheet name="Pivot Table-Uninsured SFY2018" sheetId="129" r:id="rId36"/>
    <sheet name="Uninsured By County SFY2019" sheetId="131" r:id="rId37"/>
    <sheet name="Pivot Table-Uninsured SFY2019" sheetId="132" r:id="rId38"/>
    <sheet name="Uninsured By County SFY2020" sheetId="133" r:id="rId39"/>
    <sheet name="Pivot Table-Uninsured SFY2020" sheetId="134" r:id="rId40"/>
    <sheet name="Uninsured By County SFY2021" sheetId="135" r:id="rId41"/>
    <sheet name="Pivot Table-Uninsured SFY2021" sheetId="136" r:id="rId42"/>
    <sheet name="Data Validation" sheetId="71" r:id="rId43"/>
  </sheets>
  <definedNames>
    <definedName name="_xlnm._FilterDatabase" localSheetId="30" hidden="1">'Report Schedule'!$H$9:$H$52</definedName>
    <definedName name="_xlnm._FilterDatabase" localSheetId="31" hidden="1">'Report Schedule (2)'!$L$10:$M$54</definedName>
    <definedName name="_xlnm._FilterDatabase" localSheetId="32" hidden="1">'Uninsured By County SFY2017'!$A$5:$S$107</definedName>
    <definedName name="_xlnm._FilterDatabase" localSheetId="34" hidden="1">'Uninsured By County SFY2018'!$A$5:$S$107</definedName>
    <definedName name="_xlnm._FilterDatabase" localSheetId="36" hidden="1">'Uninsured By County SFY2019'!$A$5:$S$107</definedName>
    <definedName name="_xlnm._FilterDatabase" localSheetId="38" hidden="1">'Uninsured By County SFY2020'!$A$5:$S$107</definedName>
    <definedName name="_xlnm._FilterDatabase" localSheetId="40" hidden="1">'Uninsured By County SFY2021'!$A$5:$S$111</definedName>
    <definedName name="County_Lookup">'Data Validation'!$A$16:$AB$22</definedName>
    <definedName name="County_Lookup_MC">'Data Validation'!$A$27:$AA$33</definedName>
    <definedName name="LME" localSheetId="32">'Uninsured By County SFY2017'!$A$5:$S$105</definedName>
    <definedName name="LME" localSheetId="34">'Uninsured By County SFY2018'!$A$5:$S$105</definedName>
    <definedName name="LME" localSheetId="36">'Uninsured By County SFY2019'!$A$5:$S$105</definedName>
    <definedName name="LME" localSheetId="38">'Uninsured By County SFY2020'!$A$5:$S$105</definedName>
    <definedName name="LME" localSheetId="40">'Uninsured By County SFY2021'!$A$5:$S$105</definedName>
    <definedName name="LME_MCO">'Data Validation'!$A$4:$A$10</definedName>
    <definedName name="_xlnm.Print_Area" localSheetId="6">'Initiation-Engagement 4.1.a'!$A$1:$V$21</definedName>
    <definedName name="_xlnm.Print_Area" localSheetId="8">'Initiation-Engagement 4.2.a'!$A$1:$V$21</definedName>
    <definedName name="_xlnm.Print_Area" localSheetId="33">'Pivot Table-Uninsured SFY2017'!$A$1:$E$123</definedName>
    <definedName name="_xlnm.Print_Area" localSheetId="35">'Pivot Table-Uninsured SFY2018'!$A$1:$F$123</definedName>
    <definedName name="_xlnm.Print_Area" localSheetId="37">'Pivot Table-Uninsured SFY2019'!$A$1:$F$123</definedName>
    <definedName name="_xlnm.Print_Area" localSheetId="39">'Pivot Table-Uninsured SFY2020'!$A$1:$F$123</definedName>
    <definedName name="_xlnm.Print_Area" localSheetId="41">'Pivot Table-Uninsured SFY2021'!$A$1:$F$123</definedName>
    <definedName name="_xlnm.Print_Area" localSheetId="30">'Report Schedule'!$A$1:$G$53</definedName>
    <definedName name="_xlnm.Print_Area" localSheetId="31">'Report Schedule (2)'!$A$1:$K$54</definedName>
    <definedName name="_xlnm.Print_Area" localSheetId="0">'Set-Up Worksheet'!$A$1:$N$17</definedName>
    <definedName name="_xlnm.Print_Area" localSheetId="32">'Uninsured By County SFY2017'!$A$2:$S$111</definedName>
    <definedName name="_xlnm.Print_Area" localSheetId="34">'Uninsured By County SFY2018'!$A$2:$S$111</definedName>
    <definedName name="_xlnm.Print_Area" localSheetId="36">'Uninsured By County SFY2019'!$A$2:$S$111</definedName>
    <definedName name="_xlnm.Print_Area" localSheetId="38">'Uninsured By County SFY2020'!$A$2:$S$111</definedName>
    <definedName name="_xlnm.Print_Area" localSheetId="40">'Uninsured By County SFY2021'!$A$2:$S$111</definedName>
    <definedName name="_xlnm.Print_Titles" localSheetId="25">'Continuity Of Care 6.2'!$A:$A</definedName>
    <definedName name="_xlnm.Print_Titles" localSheetId="27">'Continuity Of Care 6.4'!$A:$A,'Continuity Of Care 6.4'!$1:$12</definedName>
    <definedName name="_xlnm.Print_Titles" localSheetId="28">'Continuity Of Care 6.5'!$A:$A</definedName>
    <definedName name="_xlnm.Print_Titles" localSheetId="29">'Continuity of Care 6.6'!$A:$A</definedName>
    <definedName name="_xlnm.Print_Titles" localSheetId="12">'Crisis &amp; Inpatient 5.3'!$A:$A,'Crisis &amp; Inpatient 5.3'!$1:$12</definedName>
    <definedName name="_xlnm.Print_Titles" localSheetId="13">'Crisis &amp; Inpatient 5.4'!$A:$A,'Crisis &amp; Inpatient 5.4'!$1:$12</definedName>
    <definedName name="_xlnm.Print_Titles" localSheetId="14">'Crisis &amp; Inpatient 5.5'!$A:$A,'Crisis &amp; Inpatient 5.5'!$1:$12</definedName>
    <definedName name="_xlnm.Print_Titles" localSheetId="16">'Crisis &amp; Inpatient 5.7.a'!$1:$12</definedName>
    <definedName name="_xlnm.Print_Titles" localSheetId="17">'Crisis &amp; Inpatient 5.7.b'!$1:$12</definedName>
    <definedName name="_xlnm.Print_Titles" localSheetId="18">'Crisis &amp; Inpatient 5.7.c'!$1:$12</definedName>
    <definedName name="_xlnm.Print_Titles" localSheetId="19">'Crisis &amp; Inpatient 5.7.d'!$1:$12</definedName>
    <definedName name="_xlnm.Print_Titles" localSheetId="21">'Crisis &amp; Inpatient 5.9.a'!$1:$12</definedName>
    <definedName name="_xlnm.Print_Titles" localSheetId="22">'Crisis &amp; Inpatient 5.9.b'!$1:$12</definedName>
    <definedName name="_xlnm.Print_Titles" localSheetId="23">'Crisis &amp; Inpatient 5.9.c'!$1:$12</definedName>
    <definedName name="_xlnm.Print_Titles" localSheetId="6">'Initiation-Engagement 4.1.a'!$A:$A</definedName>
    <definedName name="_xlnm.Print_Titles" localSheetId="7">'Initiation-Engagement 4.1.b'!$A:$A,'Initiation-Engagement 4.1.b'!$1:$12</definedName>
    <definedName name="_xlnm.Print_Titles" localSheetId="8">'Initiation-Engagement 4.2.a'!$A:$A</definedName>
    <definedName name="_xlnm.Print_Titles" localSheetId="9">'Initiation-Engagement 4.2.b'!$A:$A,'Initiation-Engagement 4.2.b'!$1:$12</definedName>
    <definedName name="_xlnm.Print_Titles" localSheetId="4">'Penetration 3.1'!$A:$A,'Penetration 3.1'!$1:$12</definedName>
    <definedName name="_xlnm.Print_Titles" localSheetId="5">'Penetration 3.2'!$A:$A,'Penetration 3.2'!$1:$12</definedName>
    <definedName name="_xlnm.Print_Titles" localSheetId="33">'Pivot Table-Uninsured SFY2017'!$1:$4</definedName>
    <definedName name="_xlnm.Print_Titles" localSheetId="35">'Pivot Table-Uninsured SFY2018'!$1:$4</definedName>
    <definedName name="_xlnm.Print_Titles" localSheetId="37">'Pivot Table-Uninsured SFY2019'!$1:$4</definedName>
    <definedName name="_xlnm.Print_Titles" localSheetId="39">'Pivot Table-Uninsured SFY2020'!$1:$4</definedName>
    <definedName name="_xlnm.Print_Titles" localSheetId="41">'Pivot Table-Uninsured SFY2021'!$1:$4</definedName>
    <definedName name="_xlnm.Print_Titles" localSheetId="32">'Uninsured By County SFY2017'!$A:$A,'Uninsured By County SFY2017'!$2:$5</definedName>
    <definedName name="_xlnm.Print_Titles" localSheetId="34">'Uninsured By County SFY2018'!$A:$A,'Uninsured By County SFY2018'!$2:$5</definedName>
    <definedName name="_xlnm.Print_Titles" localSheetId="36">'Uninsured By County SFY2019'!$A:$A,'Uninsured By County SFY2019'!$2:$5</definedName>
    <definedName name="_xlnm.Print_Titles" localSheetId="38">'Uninsured By County SFY2020'!$A:$A,'Uninsured By County SFY2020'!$2:$5</definedName>
    <definedName name="_xlnm.Print_Titles" localSheetId="40">'Uninsured By County SFY2021'!$A:$A,'Uninsured By County SFY2021'!$2:$5</definedName>
    <definedName name="Uninsured_SFY2017">'Uninsured By County SFY2017'!$A$6:$S$105</definedName>
    <definedName name="Uninsured_SFY2018">'Uninsured By County SFY2018'!$A$6:$S$105</definedName>
    <definedName name="Uninsured_SFY2019">'Uninsured By County SFY2019'!$A$6:$S$105</definedName>
    <definedName name="Uninsured_SFY2020">'Uninsured By County SFY2020'!$A$6:$S$105</definedName>
    <definedName name="Uninsured_SFY2021">'Uninsured By County SFY2021'!$A$6:$S$105</definedName>
  </definedNames>
  <calcPr calcId="191029"/>
  <pivotCaches>
    <pivotCache cacheId="31" r:id="rId44"/>
    <pivotCache cacheId="32" r:id="rId45"/>
    <pivotCache cacheId="33" r:id="rId46"/>
    <pivotCache cacheId="34" r:id="rId47"/>
    <pivotCache cacheId="35" r:id="rId4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9" i="136" l="1"/>
  <c r="I119" i="136" s="1"/>
  <c r="H117" i="136"/>
  <c r="I117" i="136" s="1"/>
  <c r="H116" i="136"/>
  <c r="I116" i="136" s="1"/>
  <c r="H115" i="136"/>
  <c r="I115" i="136" s="1"/>
  <c r="H114" i="136"/>
  <c r="I114" i="136" s="1"/>
  <c r="H113" i="136"/>
  <c r="I113" i="136" s="1"/>
  <c r="I112" i="136"/>
  <c r="H112" i="136"/>
  <c r="H111" i="136"/>
  <c r="I111" i="136" s="1"/>
  <c r="H110" i="136"/>
  <c r="I110" i="136" s="1"/>
  <c r="I109" i="136"/>
  <c r="H109" i="136"/>
  <c r="H108" i="136"/>
  <c r="I108" i="136" s="1"/>
  <c r="H107" i="136"/>
  <c r="I107" i="136" s="1"/>
  <c r="H106" i="136"/>
  <c r="I106" i="136" s="1"/>
  <c r="I105" i="136"/>
  <c r="H105" i="136"/>
  <c r="H104" i="136"/>
  <c r="I104" i="136" s="1"/>
  <c r="I103" i="136"/>
  <c r="H103" i="136"/>
  <c r="I102" i="136"/>
  <c r="H102" i="136"/>
  <c r="H101" i="136"/>
  <c r="I101" i="136" s="1"/>
  <c r="H100" i="136"/>
  <c r="I100" i="136" s="1"/>
  <c r="H99" i="136"/>
  <c r="I99" i="136" s="1"/>
  <c r="H98" i="136"/>
  <c r="I98" i="136" s="1"/>
  <c r="I97" i="136"/>
  <c r="H97" i="136"/>
  <c r="H96" i="136"/>
  <c r="I96" i="136" s="1"/>
  <c r="H95" i="136"/>
  <c r="I95" i="136" s="1"/>
  <c r="H93" i="136"/>
  <c r="I93" i="136" s="1"/>
  <c r="H92" i="136"/>
  <c r="I92" i="136" s="1"/>
  <c r="H91" i="136"/>
  <c r="I91" i="136" s="1"/>
  <c r="H90" i="136"/>
  <c r="I90" i="136" s="1"/>
  <c r="H89" i="136"/>
  <c r="I89" i="136" s="1"/>
  <c r="H88" i="136"/>
  <c r="I88" i="136" s="1"/>
  <c r="I87" i="136"/>
  <c r="H87" i="136"/>
  <c r="H86" i="136"/>
  <c r="I86" i="136" s="1"/>
  <c r="H85" i="136"/>
  <c r="I85" i="136" s="1"/>
  <c r="H84" i="136"/>
  <c r="I84" i="136" s="1"/>
  <c r="H83" i="136"/>
  <c r="I83" i="136" s="1"/>
  <c r="H82" i="136"/>
  <c r="I82" i="136" s="1"/>
  <c r="H81" i="136"/>
  <c r="I81" i="136" s="1"/>
  <c r="H80" i="136"/>
  <c r="I80" i="136" s="1"/>
  <c r="H79" i="136"/>
  <c r="I79" i="136" s="1"/>
  <c r="I78" i="136"/>
  <c r="H78" i="136"/>
  <c r="H77" i="136"/>
  <c r="I77" i="136" s="1"/>
  <c r="H76" i="136"/>
  <c r="I76" i="136" s="1"/>
  <c r="H75" i="136"/>
  <c r="I75" i="136" s="1"/>
  <c r="H74" i="136"/>
  <c r="I74" i="136" s="1"/>
  <c r="H73" i="136"/>
  <c r="I73" i="136" s="1"/>
  <c r="H72" i="136"/>
  <c r="I72" i="136" s="1"/>
  <c r="H71" i="136"/>
  <c r="I71" i="136" s="1"/>
  <c r="H70" i="136"/>
  <c r="I70" i="136" s="1"/>
  <c r="H69" i="136"/>
  <c r="I69" i="136" s="1"/>
  <c r="H68" i="136"/>
  <c r="I68" i="136" s="1"/>
  <c r="H67" i="136"/>
  <c r="I67" i="136" s="1"/>
  <c r="H65" i="136"/>
  <c r="I65" i="136" s="1"/>
  <c r="H64" i="136"/>
  <c r="I64" i="136" s="1"/>
  <c r="I63" i="136"/>
  <c r="H63" i="136"/>
  <c r="H62" i="136"/>
  <c r="I62" i="136" s="1"/>
  <c r="H61" i="136"/>
  <c r="I61" i="136" s="1"/>
  <c r="H60" i="136"/>
  <c r="I60" i="136" s="1"/>
  <c r="I59" i="136"/>
  <c r="H59" i="136"/>
  <c r="H58" i="136"/>
  <c r="I58" i="136" s="1"/>
  <c r="H57" i="136"/>
  <c r="I57" i="136" s="1"/>
  <c r="H56" i="136"/>
  <c r="I56" i="136" s="1"/>
  <c r="H54" i="136"/>
  <c r="I54" i="136" s="1"/>
  <c r="H53" i="136"/>
  <c r="I53" i="136" s="1"/>
  <c r="H52" i="136"/>
  <c r="I52" i="136" s="1"/>
  <c r="H51" i="136"/>
  <c r="I51" i="136" s="1"/>
  <c r="H50" i="136"/>
  <c r="I50" i="136" s="1"/>
  <c r="H49" i="136"/>
  <c r="I49" i="136" s="1"/>
  <c r="H48" i="136"/>
  <c r="I48" i="136" s="1"/>
  <c r="H47" i="136"/>
  <c r="I47" i="136" s="1"/>
  <c r="H46" i="136"/>
  <c r="I46" i="136" s="1"/>
  <c r="H45" i="136"/>
  <c r="I45" i="136" s="1"/>
  <c r="I43" i="136"/>
  <c r="H43" i="136"/>
  <c r="H42" i="136"/>
  <c r="I42" i="136" s="1"/>
  <c r="H41" i="136"/>
  <c r="I41" i="136" s="1"/>
  <c r="H40" i="136"/>
  <c r="I40" i="136" s="1"/>
  <c r="I39" i="136"/>
  <c r="H39" i="136"/>
  <c r="H38" i="136"/>
  <c r="I38" i="136" s="1"/>
  <c r="H37" i="136"/>
  <c r="I37" i="136" s="1"/>
  <c r="H36" i="136"/>
  <c r="I36" i="136" s="1"/>
  <c r="H35" i="136"/>
  <c r="I35" i="136" s="1"/>
  <c r="H34" i="136"/>
  <c r="I34" i="136" s="1"/>
  <c r="H33" i="136"/>
  <c r="I33" i="136" s="1"/>
  <c r="H31" i="136"/>
  <c r="I31" i="136" s="1"/>
  <c r="H30" i="136"/>
  <c r="I30" i="136" s="1"/>
  <c r="H29" i="136"/>
  <c r="I29" i="136" s="1"/>
  <c r="H28" i="136"/>
  <c r="I28" i="136" s="1"/>
  <c r="H27" i="136"/>
  <c r="I27" i="136" s="1"/>
  <c r="H26" i="136"/>
  <c r="I26" i="136" s="1"/>
  <c r="H25" i="136"/>
  <c r="I25" i="136" s="1"/>
  <c r="I24" i="136"/>
  <c r="H24" i="136"/>
  <c r="H23" i="136"/>
  <c r="I23" i="136" s="1"/>
  <c r="H22" i="136"/>
  <c r="I22" i="136" s="1"/>
  <c r="H21" i="136"/>
  <c r="I21" i="136" s="1"/>
  <c r="H20" i="136"/>
  <c r="I20" i="136" s="1"/>
  <c r="H19" i="136"/>
  <c r="I19" i="136" s="1"/>
  <c r="H18" i="136"/>
  <c r="I18" i="136" s="1"/>
  <c r="H17" i="136"/>
  <c r="I17" i="136" s="1"/>
  <c r="H16" i="136"/>
  <c r="I16" i="136" s="1"/>
  <c r="H15" i="136"/>
  <c r="I15" i="136" s="1"/>
  <c r="H14" i="136"/>
  <c r="I14" i="136" s="1"/>
  <c r="H13" i="136"/>
  <c r="I13" i="136" s="1"/>
  <c r="H12" i="136"/>
  <c r="I12" i="136" s="1"/>
  <c r="H11" i="136"/>
  <c r="I11" i="136" s="1"/>
  <c r="H9" i="136"/>
  <c r="I9" i="136" s="1"/>
  <c r="I8" i="136"/>
  <c r="H8" i="136"/>
  <c r="H7" i="136"/>
  <c r="I7" i="136" s="1"/>
  <c r="H6" i="136"/>
  <c r="I6" i="136" s="1"/>
  <c r="H5" i="136"/>
  <c r="I5" i="136" s="1"/>
  <c r="H107" i="135"/>
  <c r="G107" i="135"/>
  <c r="P105" i="135"/>
  <c r="O105" i="135"/>
  <c r="Q105" i="135"/>
  <c r="N105" i="135"/>
  <c r="J105" i="135"/>
  <c r="S105" i="135" s="1"/>
  <c r="P104" i="135"/>
  <c r="N104" i="135"/>
  <c r="Q104" i="135"/>
  <c r="N103" i="135"/>
  <c r="J103" i="135"/>
  <c r="S103" i="135" s="1"/>
  <c r="P102" i="135"/>
  <c r="N102" i="135"/>
  <c r="Q102" i="135"/>
  <c r="J102" i="135"/>
  <c r="S102" i="135" s="1"/>
  <c r="O102" i="135"/>
  <c r="N101" i="135"/>
  <c r="P101" i="135"/>
  <c r="N100" i="135"/>
  <c r="J100" i="135"/>
  <c r="S100" i="135" s="1"/>
  <c r="P99" i="135"/>
  <c r="N99" i="135"/>
  <c r="Q99" i="135"/>
  <c r="J99" i="135"/>
  <c r="S99" i="135" s="1"/>
  <c r="O99" i="135"/>
  <c r="N98" i="135"/>
  <c r="P98" i="135"/>
  <c r="N97" i="135"/>
  <c r="J97" i="135"/>
  <c r="S97" i="135" s="1"/>
  <c r="P96" i="135"/>
  <c r="N96" i="135"/>
  <c r="Q96" i="135"/>
  <c r="J96" i="135"/>
  <c r="S96" i="135" s="1"/>
  <c r="O96" i="135"/>
  <c r="N95" i="135"/>
  <c r="P95" i="135"/>
  <c r="N94" i="135"/>
  <c r="J94" i="135"/>
  <c r="S94" i="135" s="1"/>
  <c r="P93" i="135"/>
  <c r="N93" i="135"/>
  <c r="Q93" i="135"/>
  <c r="J93" i="135"/>
  <c r="S93" i="135" s="1"/>
  <c r="O93" i="135"/>
  <c r="N92" i="135"/>
  <c r="P92" i="135"/>
  <c r="N91" i="135"/>
  <c r="J91" i="135"/>
  <c r="S91" i="135" s="1"/>
  <c r="P90" i="135"/>
  <c r="N90" i="135"/>
  <c r="Q90" i="135"/>
  <c r="J90" i="135"/>
  <c r="S90" i="135" s="1"/>
  <c r="O90" i="135"/>
  <c r="N89" i="135"/>
  <c r="P89" i="135"/>
  <c r="N88" i="135"/>
  <c r="J88" i="135"/>
  <c r="S88" i="135" s="1"/>
  <c r="O88" i="135"/>
  <c r="P87" i="135"/>
  <c r="N87" i="135"/>
  <c r="Q87" i="135"/>
  <c r="J87" i="135"/>
  <c r="S87" i="135" s="1"/>
  <c r="O87" i="135"/>
  <c r="N86" i="135"/>
  <c r="P86" i="135"/>
  <c r="N85" i="135"/>
  <c r="J85" i="135"/>
  <c r="S85" i="135" s="1"/>
  <c r="O85" i="135"/>
  <c r="P84" i="135"/>
  <c r="N84" i="135"/>
  <c r="Q84" i="135"/>
  <c r="J84" i="135"/>
  <c r="S84" i="135" s="1"/>
  <c r="O84" i="135"/>
  <c r="N83" i="135"/>
  <c r="P83" i="135"/>
  <c r="N82" i="135"/>
  <c r="J82" i="135"/>
  <c r="S82" i="135" s="1"/>
  <c r="O82" i="135"/>
  <c r="P81" i="135"/>
  <c r="N81" i="135"/>
  <c r="Q81" i="135"/>
  <c r="J81" i="135"/>
  <c r="S81" i="135" s="1"/>
  <c r="O81" i="135"/>
  <c r="N80" i="135"/>
  <c r="P79" i="135"/>
  <c r="N79" i="135"/>
  <c r="Q79" i="135"/>
  <c r="J79" i="135"/>
  <c r="S79" i="135" s="1"/>
  <c r="O79" i="135"/>
  <c r="P78" i="135"/>
  <c r="N78" i="135"/>
  <c r="Q78" i="135"/>
  <c r="J78" i="135"/>
  <c r="S78" i="135" s="1"/>
  <c r="O78" i="135"/>
  <c r="N77" i="135"/>
  <c r="P76" i="135"/>
  <c r="N76" i="135"/>
  <c r="Q76" i="135"/>
  <c r="J76" i="135"/>
  <c r="S76" i="135" s="1"/>
  <c r="O76" i="135"/>
  <c r="N75" i="135"/>
  <c r="Q75" i="135"/>
  <c r="O75" i="135"/>
  <c r="P74" i="135"/>
  <c r="N74" i="135"/>
  <c r="Q74" i="135"/>
  <c r="O74" i="135"/>
  <c r="N73" i="135"/>
  <c r="Q73" i="135"/>
  <c r="J73" i="135"/>
  <c r="S73" i="135" s="1"/>
  <c r="O73" i="135"/>
  <c r="N72" i="135"/>
  <c r="Q72" i="135"/>
  <c r="O72" i="135"/>
  <c r="N71" i="135"/>
  <c r="Q71" i="135"/>
  <c r="O71" i="135"/>
  <c r="P70" i="135"/>
  <c r="R70" i="135" s="1"/>
  <c r="N70" i="135"/>
  <c r="Q70" i="135"/>
  <c r="J70" i="135"/>
  <c r="S70" i="135" s="1"/>
  <c r="O70" i="135"/>
  <c r="P69" i="135"/>
  <c r="R69" i="135" s="1"/>
  <c r="N69" i="135"/>
  <c r="Q69" i="135"/>
  <c r="O69" i="135"/>
  <c r="P68" i="135"/>
  <c r="N68" i="135"/>
  <c r="Q68" i="135"/>
  <c r="O68" i="135"/>
  <c r="N67" i="135"/>
  <c r="Q67" i="135"/>
  <c r="J67" i="135"/>
  <c r="S67" i="135" s="1"/>
  <c r="O67" i="135"/>
  <c r="N66" i="135"/>
  <c r="Q66" i="135"/>
  <c r="O66" i="135"/>
  <c r="N65" i="135"/>
  <c r="Q65" i="135"/>
  <c r="O65" i="135"/>
  <c r="P64" i="135"/>
  <c r="R64" i="135" s="1"/>
  <c r="N64" i="135"/>
  <c r="Q64" i="135"/>
  <c r="J64" i="135"/>
  <c r="S64" i="135" s="1"/>
  <c r="O64" i="135"/>
  <c r="P63" i="135"/>
  <c r="N63" i="135"/>
  <c r="Q63" i="135"/>
  <c r="O63" i="135"/>
  <c r="P62" i="135"/>
  <c r="N62" i="135"/>
  <c r="Q62" i="135"/>
  <c r="O62" i="135"/>
  <c r="N61" i="135"/>
  <c r="Q61" i="135"/>
  <c r="J61" i="135"/>
  <c r="S61" i="135" s="1"/>
  <c r="O61" i="135"/>
  <c r="N60" i="135"/>
  <c r="Q60" i="135"/>
  <c r="O60" i="135"/>
  <c r="N59" i="135"/>
  <c r="Q59" i="135"/>
  <c r="O59" i="135"/>
  <c r="P58" i="135"/>
  <c r="N58" i="135"/>
  <c r="Q58" i="135"/>
  <c r="J58" i="135"/>
  <c r="S58" i="135" s="1"/>
  <c r="O58" i="135"/>
  <c r="P57" i="135"/>
  <c r="N57" i="135"/>
  <c r="Q57" i="135"/>
  <c r="O57" i="135"/>
  <c r="P56" i="135"/>
  <c r="N56" i="135"/>
  <c r="Q56" i="135"/>
  <c r="O56" i="135"/>
  <c r="N55" i="135"/>
  <c r="Q55" i="135"/>
  <c r="J55" i="135"/>
  <c r="S55" i="135" s="1"/>
  <c r="O55" i="135"/>
  <c r="N54" i="135"/>
  <c r="Q54" i="135"/>
  <c r="O54" i="135"/>
  <c r="N53" i="135"/>
  <c r="Q53" i="135"/>
  <c r="O53" i="135"/>
  <c r="P52" i="135"/>
  <c r="N52" i="135"/>
  <c r="Q52" i="135"/>
  <c r="J52" i="135"/>
  <c r="S52" i="135" s="1"/>
  <c r="O52" i="135"/>
  <c r="P51" i="135"/>
  <c r="R51" i="135" s="1"/>
  <c r="N51" i="135"/>
  <c r="Q51" i="135"/>
  <c r="O51" i="135"/>
  <c r="P50" i="135"/>
  <c r="N50" i="135"/>
  <c r="Q50" i="135"/>
  <c r="O50" i="135"/>
  <c r="N49" i="135"/>
  <c r="Q49" i="135"/>
  <c r="J49" i="135"/>
  <c r="S49" i="135" s="1"/>
  <c r="O49" i="135"/>
  <c r="N48" i="135"/>
  <c r="Q48" i="135"/>
  <c r="O48" i="135"/>
  <c r="N47" i="135"/>
  <c r="Q47" i="135"/>
  <c r="O47" i="135"/>
  <c r="P46" i="135"/>
  <c r="R46" i="135" s="1"/>
  <c r="N46" i="135"/>
  <c r="Q46" i="135"/>
  <c r="J46" i="135"/>
  <c r="S46" i="135" s="1"/>
  <c r="O46" i="135"/>
  <c r="P45" i="135"/>
  <c r="R45" i="135" s="1"/>
  <c r="N45" i="135"/>
  <c r="Q45" i="135"/>
  <c r="O45" i="135"/>
  <c r="P44" i="135"/>
  <c r="N44" i="135"/>
  <c r="Q44" i="135"/>
  <c r="O44" i="135"/>
  <c r="N43" i="135"/>
  <c r="Q43" i="135"/>
  <c r="J43" i="135"/>
  <c r="S43" i="135" s="1"/>
  <c r="O43" i="135"/>
  <c r="N42" i="135"/>
  <c r="Q42" i="135"/>
  <c r="O42" i="135"/>
  <c r="N41" i="135"/>
  <c r="Q41" i="135"/>
  <c r="O41" i="135"/>
  <c r="P40" i="135"/>
  <c r="R40" i="135" s="1"/>
  <c r="N40" i="135"/>
  <c r="Q40" i="135"/>
  <c r="J40" i="135"/>
  <c r="S40" i="135" s="1"/>
  <c r="O40" i="135"/>
  <c r="P39" i="135"/>
  <c r="N39" i="135"/>
  <c r="Q39" i="135"/>
  <c r="O39" i="135"/>
  <c r="P38" i="135"/>
  <c r="N38" i="135"/>
  <c r="Q38" i="135"/>
  <c r="O38" i="135"/>
  <c r="N37" i="135"/>
  <c r="Q37" i="135"/>
  <c r="J37" i="135"/>
  <c r="S37" i="135" s="1"/>
  <c r="O37" i="135"/>
  <c r="N36" i="135"/>
  <c r="Q36" i="135"/>
  <c r="O36" i="135"/>
  <c r="N35" i="135"/>
  <c r="Q35" i="135"/>
  <c r="O35" i="135"/>
  <c r="P34" i="135"/>
  <c r="N34" i="135"/>
  <c r="Q34" i="135"/>
  <c r="J34" i="135"/>
  <c r="S34" i="135" s="1"/>
  <c r="O34" i="135"/>
  <c r="P33" i="135"/>
  <c r="R33" i="135" s="1"/>
  <c r="N33" i="135"/>
  <c r="Q33" i="135"/>
  <c r="O33" i="135"/>
  <c r="P32" i="135"/>
  <c r="N32" i="135"/>
  <c r="Q32" i="135"/>
  <c r="O32" i="135"/>
  <c r="N31" i="135"/>
  <c r="Q31" i="135"/>
  <c r="J31" i="135"/>
  <c r="S31" i="135" s="1"/>
  <c r="O31" i="135"/>
  <c r="N30" i="135"/>
  <c r="Q30" i="135"/>
  <c r="O30" i="135"/>
  <c r="N29" i="135"/>
  <c r="Q29" i="135"/>
  <c r="O29" i="135"/>
  <c r="P28" i="135"/>
  <c r="R28" i="135" s="1"/>
  <c r="N28" i="135"/>
  <c r="Q28" i="135"/>
  <c r="J28" i="135"/>
  <c r="S28" i="135" s="1"/>
  <c r="O28" i="135"/>
  <c r="P27" i="135"/>
  <c r="N27" i="135"/>
  <c r="Q27" i="135"/>
  <c r="O27" i="135"/>
  <c r="P26" i="135"/>
  <c r="N26" i="135"/>
  <c r="Q26" i="135"/>
  <c r="O26" i="135"/>
  <c r="N25" i="135"/>
  <c r="Q25" i="135"/>
  <c r="J25" i="135"/>
  <c r="S25" i="135" s="1"/>
  <c r="O25" i="135"/>
  <c r="N24" i="135"/>
  <c r="Q24" i="135"/>
  <c r="J24" i="135"/>
  <c r="S24" i="135" s="1"/>
  <c r="P23" i="135"/>
  <c r="O23" i="135"/>
  <c r="Q23" i="135"/>
  <c r="J23" i="135"/>
  <c r="S23" i="135" s="1"/>
  <c r="N23" i="135"/>
  <c r="Q22" i="135"/>
  <c r="P22" i="135"/>
  <c r="N22" i="135"/>
  <c r="O22" i="135"/>
  <c r="N21" i="135"/>
  <c r="Q21" i="135"/>
  <c r="J21" i="135"/>
  <c r="S21" i="135" s="1"/>
  <c r="P20" i="135"/>
  <c r="O20" i="135"/>
  <c r="Q20" i="135"/>
  <c r="J20" i="135"/>
  <c r="S20" i="135" s="1"/>
  <c r="N20" i="135"/>
  <c r="Q19" i="135"/>
  <c r="P19" i="135"/>
  <c r="N19" i="135"/>
  <c r="O19" i="135"/>
  <c r="N18" i="135"/>
  <c r="Q18" i="135"/>
  <c r="J18" i="135"/>
  <c r="S18" i="135" s="1"/>
  <c r="P17" i="135"/>
  <c r="O17" i="135"/>
  <c r="Q17" i="135"/>
  <c r="J17" i="135"/>
  <c r="S17" i="135" s="1"/>
  <c r="N17" i="135"/>
  <c r="Q16" i="135"/>
  <c r="P16" i="135"/>
  <c r="R16" i="135" s="1"/>
  <c r="N16" i="135"/>
  <c r="J16" i="135"/>
  <c r="S16" i="135" s="1"/>
  <c r="N15" i="135"/>
  <c r="Q15" i="135"/>
  <c r="J15" i="135"/>
  <c r="S15" i="135" s="1"/>
  <c r="P14" i="135"/>
  <c r="O14" i="135"/>
  <c r="Q14" i="135"/>
  <c r="J14" i="135"/>
  <c r="S14" i="135" s="1"/>
  <c r="N14" i="135"/>
  <c r="Q13" i="135"/>
  <c r="P13" i="135"/>
  <c r="N13" i="135"/>
  <c r="O13" i="135"/>
  <c r="N12" i="135"/>
  <c r="Q12" i="135"/>
  <c r="J12" i="135"/>
  <c r="S12" i="135" s="1"/>
  <c r="P11" i="135"/>
  <c r="R11" i="135" s="1"/>
  <c r="O11" i="135"/>
  <c r="Q11" i="135"/>
  <c r="J11" i="135"/>
  <c r="S11" i="135" s="1"/>
  <c r="N11" i="135"/>
  <c r="Q10" i="135"/>
  <c r="P10" i="135"/>
  <c r="N10" i="135"/>
  <c r="O10" i="135"/>
  <c r="N9" i="135"/>
  <c r="Q9" i="135"/>
  <c r="J9" i="135"/>
  <c r="S9" i="135" s="1"/>
  <c r="P8" i="135"/>
  <c r="O8" i="135"/>
  <c r="Q8" i="135"/>
  <c r="J8" i="135"/>
  <c r="S8" i="135" s="1"/>
  <c r="N8" i="135"/>
  <c r="Q7" i="135"/>
  <c r="P7" i="135"/>
  <c r="R7" i="135" s="1"/>
  <c r="N7" i="135"/>
  <c r="O7" i="135"/>
  <c r="N6" i="135"/>
  <c r="Q6" i="135"/>
  <c r="I107" i="135"/>
  <c r="F107" i="135"/>
  <c r="D107" i="135"/>
  <c r="H121" i="136" l="1"/>
  <c r="I121" i="136"/>
  <c r="R27" i="135"/>
  <c r="R58" i="135"/>
  <c r="R63" i="135"/>
  <c r="R52" i="135"/>
  <c r="R57" i="135"/>
  <c r="R96" i="135"/>
  <c r="R34" i="135"/>
  <c r="R39" i="135"/>
  <c r="R19" i="135"/>
  <c r="R22" i="135"/>
  <c r="R78" i="135"/>
  <c r="R20" i="135"/>
  <c r="R26" i="135"/>
  <c r="R32" i="135"/>
  <c r="R38" i="135"/>
  <c r="R44" i="135"/>
  <c r="R50" i="135"/>
  <c r="R56" i="135"/>
  <c r="R62" i="135"/>
  <c r="R68" i="135"/>
  <c r="R74" i="135"/>
  <c r="R76" i="135"/>
  <c r="R79" i="135"/>
  <c r="R102" i="135"/>
  <c r="R10" i="135"/>
  <c r="R13" i="135"/>
  <c r="R90" i="135"/>
  <c r="R8" i="135"/>
  <c r="R17" i="135"/>
  <c r="R14" i="135"/>
  <c r="R23" i="135"/>
  <c r="J7" i="135"/>
  <c r="S7" i="135" s="1"/>
  <c r="J13" i="135"/>
  <c r="S13" i="135" s="1"/>
  <c r="J19" i="135"/>
  <c r="S19" i="135" s="1"/>
  <c r="J39" i="135"/>
  <c r="S39" i="135" s="1"/>
  <c r="O9" i="135"/>
  <c r="O15" i="135"/>
  <c r="O18" i="135"/>
  <c r="O21" i="135"/>
  <c r="O24" i="135"/>
  <c r="P29" i="135"/>
  <c r="R29" i="135" s="1"/>
  <c r="P35" i="135"/>
  <c r="R35" i="135" s="1"/>
  <c r="P41" i="135"/>
  <c r="R41" i="135" s="1"/>
  <c r="P47" i="135"/>
  <c r="R47" i="135" s="1"/>
  <c r="P53" i="135"/>
  <c r="R53" i="135" s="1"/>
  <c r="P59" i="135"/>
  <c r="R59" i="135" s="1"/>
  <c r="P65" i="135"/>
  <c r="R65" i="135" s="1"/>
  <c r="P71" i="135"/>
  <c r="R71" i="135" s="1"/>
  <c r="R87" i="135"/>
  <c r="Q91" i="135"/>
  <c r="P91" i="135"/>
  <c r="Q97" i="135"/>
  <c r="P97" i="135"/>
  <c r="Q103" i="135"/>
  <c r="P103" i="135"/>
  <c r="J27" i="135"/>
  <c r="S27" i="135" s="1"/>
  <c r="J33" i="135"/>
  <c r="S33" i="135" s="1"/>
  <c r="O6" i="135"/>
  <c r="O12" i="135"/>
  <c r="J6" i="135"/>
  <c r="P6" i="135"/>
  <c r="P9" i="135"/>
  <c r="R9" i="135" s="1"/>
  <c r="P12" i="135"/>
  <c r="R12" i="135" s="1"/>
  <c r="P15" i="135"/>
  <c r="R15" i="135" s="1"/>
  <c r="P18" i="135"/>
  <c r="R18" i="135" s="1"/>
  <c r="P21" i="135"/>
  <c r="R21" i="135" s="1"/>
  <c r="P24" i="135"/>
  <c r="R24" i="135" s="1"/>
  <c r="J29" i="135"/>
  <c r="S29" i="135" s="1"/>
  <c r="P30" i="135"/>
  <c r="R30" i="135" s="1"/>
  <c r="J35" i="135"/>
  <c r="S35" i="135" s="1"/>
  <c r="P36" i="135"/>
  <c r="R36" i="135" s="1"/>
  <c r="J41" i="135"/>
  <c r="S41" i="135" s="1"/>
  <c r="P42" i="135"/>
  <c r="R42" i="135" s="1"/>
  <c r="J47" i="135"/>
  <c r="S47" i="135" s="1"/>
  <c r="P48" i="135"/>
  <c r="R48" i="135" s="1"/>
  <c r="J53" i="135"/>
  <c r="S53" i="135" s="1"/>
  <c r="P54" i="135"/>
  <c r="R54" i="135" s="1"/>
  <c r="J59" i="135"/>
  <c r="S59" i="135" s="1"/>
  <c r="P60" i="135"/>
  <c r="R60" i="135" s="1"/>
  <c r="J65" i="135"/>
  <c r="S65" i="135" s="1"/>
  <c r="P66" i="135"/>
  <c r="R66" i="135" s="1"/>
  <c r="J71" i="135"/>
  <c r="S71" i="135" s="1"/>
  <c r="P72" i="135"/>
  <c r="R72" i="135" s="1"/>
  <c r="Q82" i="135"/>
  <c r="P82" i="135"/>
  <c r="J86" i="135"/>
  <c r="S86" i="135" s="1"/>
  <c r="O86" i="135"/>
  <c r="R93" i="135"/>
  <c r="R99" i="135"/>
  <c r="N107" i="135"/>
  <c r="J10" i="135"/>
  <c r="S10" i="135" s="1"/>
  <c r="J22" i="135"/>
  <c r="S22" i="135" s="1"/>
  <c r="P25" i="135"/>
  <c r="R25" i="135" s="1"/>
  <c r="J30" i="135"/>
  <c r="S30" i="135" s="1"/>
  <c r="P31" i="135"/>
  <c r="R31" i="135" s="1"/>
  <c r="J36" i="135"/>
  <c r="S36" i="135" s="1"/>
  <c r="P37" i="135"/>
  <c r="R37" i="135" s="1"/>
  <c r="J42" i="135"/>
  <c r="S42" i="135" s="1"/>
  <c r="P43" i="135"/>
  <c r="R43" i="135" s="1"/>
  <c r="J48" i="135"/>
  <c r="S48" i="135" s="1"/>
  <c r="P49" i="135"/>
  <c r="R49" i="135" s="1"/>
  <c r="J54" i="135"/>
  <c r="S54" i="135" s="1"/>
  <c r="P55" i="135"/>
  <c r="R55" i="135" s="1"/>
  <c r="J60" i="135"/>
  <c r="S60" i="135" s="1"/>
  <c r="P61" i="135"/>
  <c r="R61" i="135" s="1"/>
  <c r="J66" i="135"/>
  <c r="S66" i="135" s="1"/>
  <c r="P67" i="135"/>
  <c r="R67" i="135" s="1"/>
  <c r="J72" i="135"/>
  <c r="S72" i="135" s="1"/>
  <c r="P73" i="135"/>
  <c r="R73" i="135" s="1"/>
  <c r="P77" i="135"/>
  <c r="Q77" i="135"/>
  <c r="P80" i="135"/>
  <c r="Q80" i="135"/>
  <c r="R84" i="135"/>
  <c r="J92" i="135"/>
  <c r="S92" i="135" s="1"/>
  <c r="O92" i="135"/>
  <c r="R95" i="135"/>
  <c r="J98" i="135"/>
  <c r="S98" i="135" s="1"/>
  <c r="O98" i="135"/>
  <c r="J104" i="135"/>
  <c r="S104" i="135" s="1"/>
  <c r="O104" i="135"/>
  <c r="R104" i="135"/>
  <c r="R105" i="135"/>
  <c r="J83" i="135"/>
  <c r="S83" i="135" s="1"/>
  <c r="O83" i="135"/>
  <c r="Q88" i="135"/>
  <c r="P88" i="135"/>
  <c r="Q94" i="135"/>
  <c r="P94" i="135"/>
  <c r="Q100" i="135"/>
  <c r="P100" i="135"/>
  <c r="E107" i="135"/>
  <c r="O16" i="135"/>
  <c r="J26" i="135"/>
  <c r="S26" i="135" s="1"/>
  <c r="J32" i="135"/>
  <c r="S32" i="135" s="1"/>
  <c r="J38" i="135"/>
  <c r="S38" i="135" s="1"/>
  <c r="J44" i="135"/>
  <c r="S44" i="135" s="1"/>
  <c r="J50" i="135"/>
  <c r="S50" i="135" s="1"/>
  <c r="J56" i="135"/>
  <c r="S56" i="135" s="1"/>
  <c r="J62" i="135"/>
  <c r="S62" i="135" s="1"/>
  <c r="J68" i="135"/>
  <c r="S68" i="135" s="1"/>
  <c r="J74" i="135"/>
  <c r="S74" i="135" s="1"/>
  <c r="P75" i="135"/>
  <c r="R75" i="135" s="1"/>
  <c r="R81" i="135"/>
  <c r="J45" i="135"/>
  <c r="S45" i="135" s="1"/>
  <c r="J51" i="135"/>
  <c r="S51" i="135" s="1"/>
  <c r="J57" i="135"/>
  <c r="S57" i="135" s="1"/>
  <c r="J63" i="135"/>
  <c r="S63" i="135" s="1"/>
  <c r="J69" i="135"/>
  <c r="S69" i="135" s="1"/>
  <c r="J75" i="135"/>
  <c r="S75" i="135" s="1"/>
  <c r="J77" i="135"/>
  <c r="S77" i="135" s="1"/>
  <c r="O77" i="135"/>
  <c r="J80" i="135"/>
  <c r="S80" i="135" s="1"/>
  <c r="O80" i="135"/>
  <c r="Q85" i="135"/>
  <c r="P85" i="135"/>
  <c r="J89" i="135"/>
  <c r="S89" i="135" s="1"/>
  <c r="O89" i="135"/>
  <c r="J95" i="135"/>
  <c r="S95" i="135" s="1"/>
  <c r="O95" i="135"/>
  <c r="J101" i="135"/>
  <c r="S101" i="135" s="1"/>
  <c r="O101" i="135"/>
  <c r="Q83" i="135"/>
  <c r="R83" i="135" s="1"/>
  <c r="Q86" i="135"/>
  <c r="R86" i="135" s="1"/>
  <c r="Q89" i="135"/>
  <c r="R89" i="135" s="1"/>
  <c r="O91" i="135"/>
  <c r="Q92" i="135"/>
  <c r="R92" i="135" s="1"/>
  <c r="O94" i="135"/>
  <c r="Q95" i="135"/>
  <c r="O97" i="135"/>
  <c r="Q98" i="135"/>
  <c r="R98" i="135" s="1"/>
  <c r="O100" i="135"/>
  <c r="Q101" i="135"/>
  <c r="R101" i="135" s="1"/>
  <c r="O103" i="135"/>
  <c r="Q107" i="135" l="1"/>
  <c r="Q108" i="135" s="1"/>
  <c r="R77" i="135"/>
  <c r="R82" i="135"/>
  <c r="R80" i="135"/>
  <c r="O107" i="135"/>
  <c r="O108" i="135" s="1"/>
  <c r="R100" i="135"/>
  <c r="P107" i="135"/>
  <c r="P108" i="135" s="1"/>
  <c r="R6" i="135"/>
  <c r="R103" i="135"/>
  <c r="N108" i="135"/>
  <c r="J107" i="135"/>
  <c r="S6" i="135"/>
  <c r="S107" i="135" s="1"/>
  <c r="S108" i="135" s="1"/>
  <c r="R94" i="135"/>
  <c r="R97" i="135"/>
  <c r="R85" i="135"/>
  <c r="R88" i="135"/>
  <c r="R91" i="135"/>
  <c r="R107" i="135" l="1"/>
  <c r="R108" i="135" s="1"/>
  <c r="H119" i="134" l="1"/>
  <c r="I119" i="134" s="1"/>
  <c r="H117" i="134"/>
  <c r="I117" i="134" s="1"/>
  <c r="H116" i="134"/>
  <c r="I116" i="134" s="1"/>
  <c r="H115" i="134"/>
  <c r="I115" i="134" s="1"/>
  <c r="H114" i="134"/>
  <c r="I114" i="134" s="1"/>
  <c r="H113" i="134"/>
  <c r="I113" i="134" s="1"/>
  <c r="H112" i="134"/>
  <c r="I112" i="134" s="1"/>
  <c r="H111" i="134"/>
  <c r="I111" i="134" s="1"/>
  <c r="H110" i="134"/>
  <c r="I110" i="134" s="1"/>
  <c r="H109" i="134"/>
  <c r="I109" i="134" s="1"/>
  <c r="H108" i="134"/>
  <c r="I108" i="134" s="1"/>
  <c r="H107" i="134"/>
  <c r="I107" i="134" s="1"/>
  <c r="H106" i="134"/>
  <c r="I106" i="134" s="1"/>
  <c r="H105" i="134"/>
  <c r="I105" i="134" s="1"/>
  <c r="H104" i="134"/>
  <c r="I104" i="134" s="1"/>
  <c r="H103" i="134"/>
  <c r="I103" i="134" s="1"/>
  <c r="H102" i="134"/>
  <c r="I102" i="134" s="1"/>
  <c r="H101" i="134"/>
  <c r="I101" i="134" s="1"/>
  <c r="H100" i="134"/>
  <c r="I100" i="134" s="1"/>
  <c r="H99" i="134"/>
  <c r="I99" i="134" s="1"/>
  <c r="H98" i="134"/>
  <c r="I98" i="134" s="1"/>
  <c r="H97" i="134"/>
  <c r="I97" i="134" s="1"/>
  <c r="H96" i="134"/>
  <c r="I96" i="134" s="1"/>
  <c r="H95" i="134"/>
  <c r="I95" i="134" s="1"/>
  <c r="H93" i="134"/>
  <c r="I93" i="134" s="1"/>
  <c r="H92" i="134"/>
  <c r="I92" i="134" s="1"/>
  <c r="H91" i="134"/>
  <c r="I91" i="134" s="1"/>
  <c r="H90" i="134"/>
  <c r="I90" i="134" s="1"/>
  <c r="H89" i="134"/>
  <c r="I89" i="134" s="1"/>
  <c r="H88" i="134"/>
  <c r="I88" i="134" s="1"/>
  <c r="H87" i="134"/>
  <c r="I87" i="134" s="1"/>
  <c r="H86" i="134"/>
  <c r="I86" i="134" s="1"/>
  <c r="H85" i="134"/>
  <c r="I85" i="134" s="1"/>
  <c r="H84" i="134"/>
  <c r="I84" i="134" s="1"/>
  <c r="H83" i="134"/>
  <c r="I83" i="134" s="1"/>
  <c r="H82" i="134"/>
  <c r="I82" i="134" s="1"/>
  <c r="H81" i="134"/>
  <c r="I81" i="134" s="1"/>
  <c r="H80" i="134"/>
  <c r="I80" i="134" s="1"/>
  <c r="H79" i="134"/>
  <c r="I79" i="134" s="1"/>
  <c r="H78" i="134"/>
  <c r="I78" i="134" s="1"/>
  <c r="H77" i="134"/>
  <c r="I77" i="134" s="1"/>
  <c r="H76" i="134"/>
  <c r="I76" i="134" s="1"/>
  <c r="H75" i="134"/>
  <c r="I75" i="134" s="1"/>
  <c r="H74" i="134"/>
  <c r="I74" i="134" s="1"/>
  <c r="H73" i="134"/>
  <c r="I73" i="134" s="1"/>
  <c r="H72" i="134"/>
  <c r="I72" i="134" s="1"/>
  <c r="H71" i="134"/>
  <c r="I71" i="134" s="1"/>
  <c r="H70" i="134"/>
  <c r="I70" i="134" s="1"/>
  <c r="H69" i="134"/>
  <c r="I69" i="134" s="1"/>
  <c r="H68" i="134"/>
  <c r="I68" i="134" s="1"/>
  <c r="H67" i="134"/>
  <c r="I67" i="134" s="1"/>
  <c r="H65" i="134"/>
  <c r="I65" i="134" s="1"/>
  <c r="H64" i="134"/>
  <c r="I64" i="134" s="1"/>
  <c r="H63" i="134"/>
  <c r="I63" i="134" s="1"/>
  <c r="H62" i="134"/>
  <c r="I62" i="134" s="1"/>
  <c r="H61" i="134"/>
  <c r="I61" i="134" s="1"/>
  <c r="H60" i="134"/>
  <c r="I60" i="134" s="1"/>
  <c r="H59" i="134"/>
  <c r="I59" i="134" s="1"/>
  <c r="H58" i="134"/>
  <c r="I58" i="134" s="1"/>
  <c r="H57" i="134"/>
  <c r="I57" i="134" s="1"/>
  <c r="H56" i="134"/>
  <c r="I56" i="134" s="1"/>
  <c r="H54" i="134"/>
  <c r="I54" i="134" s="1"/>
  <c r="H53" i="134"/>
  <c r="I53" i="134" s="1"/>
  <c r="H52" i="134"/>
  <c r="I52" i="134" s="1"/>
  <c r="H51" i="134"/>
  <c r="I51" i="134" s="1"/>
  <c r="H50" i="134"/>
  <c r="I50" i="134" s="1"/>
  <c r="H49" i="134"/>
  <c r="I49" i="134" s="1"/>
  <c r="H48" i="134"/>
  <c r="I48" i="134" s="1"/>
  <c r="H47" i="134"/>
  <c r="I47" i="134" s="1"/>
  <c r="H46" i="134"/>
  <c r="I46" i="134" s="1"/>
  <c r="H45" i="134"/>
  <c r="I45" i="134" s="1"/>
  <c r="H43" i="134"/>
  <c r="I43" i="134" s="1"/>
  <c r="H42" i="134"/>
  <c r="I42" i="134" s="1"/>
  <c r="H41" i="134"/>
  <c r="I41" i="134" s="1"/>
  <c r="H40" i="134"/>
  <c r="I40" i="134" s="1"/>
  <c r="H39" i="134"/>
  <c r="I39" i="134" s="1"/>
  <c r="H38" i="134"/>
  <c r="I38" i="134" s="1"/>
  <c r="H37" i="134"/>
  <c r="I37" i="134" s="1"/>
  <c r="H36" i="134"/>
  <c r="I36" i="134" s="1"/>
  <c r="H35" i="134"/>
  <c r="I35" i="134" s="1"/>
  <c r="H34" i="134"/>
  <c r="I34" i="134" s="1"/>
  <c r="H33" i="134"/>
  <c r="I33" i="134" s="1"/>
  <c r="H31" i="134"/>
  <c r="I31" i="134" s="1"/>
  <c r="H30" i="134"/>
  <c r="I30" i="134" s="1"/>
  <c r="H29" i="134"/>
  <c r="I29" i="134" s="1"/>
  <c r="H28" i="134"/>
  <c r="I28" i="134" s="1"/>
  <c r="H27" i="134"/>
  <c r="I27" i="134" s="1"/>
  <c r="H26" i="134"/>
  <c r="I26" i="134" s="1"/>
  <c r="H25" i="134"/>
  <c r="I25" i="134" s="1"/>
  <c r="H24" i="134"/>
  <c r="I24" i="134" s="1"/>
  <c r="H23" i="134"/>
  <c r="I23" i="134" s="1"/>
  <c r="H22" i="134"/>
  <c r="I22" i="134" s="1"/>
  <c r="H21" i="134"/>
  <c r="I21" i="134" s="1"/>
  <c r="H20" i="134"/>
  <c r="I20" i="134" s="1"/>
  <c r="H19" i="134"/>
  <c r="I19" i="134" s="1"/>
  <c r="H18" i="134"/>
  <c r="I18" i="134" s="1"/>
  <c r="H17" i="134"/>
  <c r="I17" i="134" s="1"/>
  <c r="H16" i="134"/>
  <c r="I16" i="134" s="1"/>
  <c r="H15" i="134"/>
  <c r="I15" i="134" s="1"/>
  <c r="H14" i="134"/>
  <c r="I14" i="134" s="1"/>
  <c r="H13" i="134"/>
  <c r="I13" i="134" s="1"/>
  <c r="H12" i="134"/>
  <c r="I12" i="134" s="1"/>
  <c r="H11" i="134"/>
  <c r="I11" i="134" s="1"/>
  <c r="H9" i="134"/>
  <c r="I9" i="134" s="1"/>
  <c r="H8" i="134"/>
  <c r="I8" i="134" s="1"/>
  <c r="H7" i="134"/>
  <c r="I7" i="134" s="1"/>
  <c r="H6" i="134"/>
  <c r="I6" i="134" s="1"/>
  <c r="H5" i="134"/>
  <c r="I5" i="134" s="1"/>
  <c r="H107" i="133"/>
  <c r="G107" i="133"/>
  <c r="Q105" i="133"/>
  <c r="P105" i="133"/>
  <c r="R105" i="133" s="1"/>
  <c r="O105" i="133"/>
  <c r="N105" i="133"/>
  <c r="N104" i="133"/>
  <c r="P103" i="133"/>
  <c r="R103" i="133" s="1"/>
  <c r="Q103" i="133"/>
  <c r="J103" i="133"/>
  <c r="S103" i="133" s="1"/>
  <c r="N103" i="133"/>
  <c r="Q102" i="133"/>
  <c r="P102" i="133"/>
  <c r="O102" i="133"/>
  <c r="N102" i="133"/>
  <c r="N101" i="133"/>
  <c r="Q100" i="133"/>
  <c r="J100" i="133"/>
  <c r="S100" i="133" s="1"/>
  <c r="Q99" i="133"/>
  <c r="P99" i="133"/>
  <c r="N99" i="133"/>
  <c r="J98" i="133"/>
  <c r="N98" i="133"/>
  <c r="Q97" i="133"/>
  <c r="J97" i="133"/>
  <c r="S97" i="133" s="1"/>
  <c r="Q96" i="133"/>
  <c r="P96" i="133"/>
  <c r="N96" i="133"/>
  <c r="J96" i="133"/>
  <c r="S96" i="133" s="1"/>
  <c r="J95" i="133"/>
  <c r="N95" i="133"/>
  <c r="Q94" i="133"/>
  <c r="O94" i="133"/>
  <c r="N94" i="133"/>
  <c r="Q93" i="133"/>
  <c r="P93" i="133"/>
  <c r="R93" i="133" s="1"/>
  <c r="O93" i="133"/>
  <c r="N93" i="133"/>
  <c r="Q92" i="133"/>
  <c r="O92" i="133"/>
  <c r="N92" i="133"/>
  <c r="N91" i="133"/>
  <c r="Q90" i="133"/>
  <c r="P90" i="133"/>
  <c r="N90" i="133"/>
  <c r="P89" i="133"/>
  <c r="Q89" i="133"/>
  <c r="O89" i="133"/>
  <c r="N89" i="133"/>
  <c r="N88" i="133"/>
  <c r="Q87" i="133"/>
  <c r="P87" i="133"/>
  <c r="N87" i="133"/>
  <c r="P86" i="133"/>
  <c r="Q86" i="133"/>
  <c r="O86" i="133"/>
  <c r="N86" i="133"/>
  <c r="N85" i="133"/>
  <c r="Q84" i="133"/>
  <c r="P84" i="133"/>
  <c r="N84" i="133"/>
  <c r="P83" i="133"/>
  <c r="Q83" i="133"/>
  <c r="O83" i="133"/>
  <c r="N83" i="133"/>
  <c r="N82" i="133"/>
  <c r="Q81" i="133"/>
  <c r="P81" i="133"/>
  <c r="N81" i="133"/>
  <c r="P80" i="133"/>
  <c r="Q80" i="133"/>
  <c r="O80" i="133"/>
  <c r="N80" i="133"/>
  <c r="N79" i="133"/>
  <c r="Q78" i="133"/>
  <c r="P78" i="133"/>
  <c r="N78" i="133"/>
  <c r="P77" i="133"/>
  <c r="Q77" i="133"/>
  <c r="O77" i="133"/>
  <c r="N77" i="133"/>
  <c r="N76" i="133"/>
  <c r="Q75" i="133"/>
  <c r="P75" i="133"/>
  <c r="N75" i="133"/>
  <c r="P74" i="133"/>
  <c r="Q74" i="133"/>
  <c r="O74" i="133"/>
  <c r="N74" i="133"/>
  <c r="N73" i="133"/>
  <c r="Q72" i="133"/>
  <c r="P72" i="133"/>
  <c r="N72" i="133"/>
  <c r="P71" i="133"/>
  <c r="Q71" i="133"/>
  <c r="O71" i="133"/>
  <c r="N71" i="133"/>
  <c r="N70" i="133"/>
  <c r="Q69" i="133"/>
  <c r="P69" i="133"/>
  <c r="N69" i="133"/>
  <c r="P68" i="133"/>
  <c r="Q68" i="133"/>
  <c r="O68" i="133"/>
  <c r="N68" i="133"/>
  <c r="N67" i="133"/>
  <c r="Q66" i="133"/>
  <c r="P66" i="133"/>
  <c r="N66" i="133"/>
  <c r="P65" i="133"/>
  <c r="Q65" i="133"/>
  <c r="O65" i="133"/>
  <c r="N65" i="133"/>
  <c r="N64" i="133"/>
  <c r="Q63" i="133"/>
  <c r="P63" i="133"/>
  <c r="N63" i="133"/>
  <c r="P62" i="133"/>
  <c r="Q62" i="133"/>
  <c r="O62" i="133"/>
  <c r="N62" i="133"/>
  <c r="N61" i="133"/>
  <c r="P60" i="133"/>
  <c r="Q60" i="133"/>
  <c r="J60" i="133"/>
  <c r="S60" i="133" s="1"/>
  <c r="N60" i="133"/>
  <c r="P59" i="133"/>
  <c r="Q59" i="133"/>
  <c r="N59" i="133"/>
  <c r="J58" i="133"/>
  <c r="N58" i="133"/>
  <c r="P57" i="133"/>
  <c r="Q57" i="133"/>
  <c r="J57" i="133"/>
  <c r="S57" i="133" s="1"/>
  <c r="N57" i="133"/>
  <c r="P56" i="133"/>
  <c r="Q56" i="133"/>
  <c r="N56" i="133"/>
  <c r="J55" i="133"/>
  <c r="N55" i="133"/>
  <c r="P54" i="133"/>
  <c r="Q54" i="133"/>
  <c r="J54" i="133"/>
  <c r="S54" i="133" s="1"/>
  <c r="N54" i="133"/>
  <c r="P53" i="133"/>
  <c r="Q53" i="133"/>
  <c r="N53" i="133"/>
  <c r="J52" i="133"/>
  <c r="N52" i="133"/>
  <c r="P51" i="133"/>
  <c r="Q51" i="133"/>
  <c r="J51" i="133"/>
  <c r="S51" i="133" s="1"/>
  <c r="N51" i="133"/>
  <c r="P50" i="133"/>
  <c r="Q50" i="133"/>
  <c r="N50" i="133"/>
  <c r="J49" i="133"/>
  <c r="N49" i="133"/>
  <c r="P48" i="133"/>
  <c r="Q48" i="133"/>
  <c r="J48" i="133"/>
  <c r="S48" i="133" s="1"/>
  <c r="N48" i="133"/>
  <c r="P47" i="133"/>
  <c r="Q47" i="133"/>
  <c r="N47" i="133"/>
  <c r="N46" i="133"/>
  <c r="P45" i="133"/>
  <c r="Q45" i="133"/>
  <c r="J45" i="133"/>
  <c r="S45" i="133" s="1"/>
  <c r="N45" i="133"/>
  <c r="P44" i="133"/>
  <c r="Q44" i="133"/>
  <c r="O44" i="133"/>
  <c r="N44" i="133"/>
  <c r="N43" i="133"/>
  <c r="P42" i="133"/>
  <c r="Q42" i="133"/>
  <c r="J42" i="133"/>
  <c r="S42" i="133" s="1"/>
  <c r="N42" i="133"/>
  <c r="P41" i="133"/>
  <c r="Q41" i="133"/>
  <c r="O41" i="133"/>
  <c r="N41" i="133"/>
  <c r="N40" i="133"/>
  <c r="P39" i="133"/>
  <c r="Q39" i="133"/>
  <c r="J39" i="133"/>
  <c r="S39" i="133" s="1"/>
  <c r="N39" i="133"/>
  <c r="P38" i="133"/>
  <c r="N38" i="133"/>
  <c r="Q38" i="133"/>
  <c r="O38" i="133"/>
  <c r="N37" i="133"/>
  <c r="Q36" i="133"/>
  <c r="N36" i="133"/>
  <c r="J36" i="133"/>
  <c r="S36" i="133" s="1"/>
  <c r="P35" i="133"/>
  <c r="Q35" i="133"/>
  <c r="O35" i="133"/>
  <c r="N35" i="133"/>
  <c r="N34" i="133"/>
  <c r="Q33" i="133"/>
  <c r="N33" i="133"/>
  <c r="Q32" i="133"/>
  <c r="N32" i="133"/>
  <c r="N31" i="133"/>
  <c r="Q30" i="133"/>
  <c r="O30" i="133"/>
  <c r="N30" i="133"/>
  <c r="Q29" i="133"/>
  <c r="N29" i="133"/>
  <c r="N28" i="133"/>
  <c r="P27" i="133"/>
  <c r="R27" i="133" s="1"/>
  <c r="N27" i="133"/>
  <c r="Q27" i="133"/>
  <c r="O27" i="133"/>
  <c r="P26" i="133"/>
  <c r="Q26" i="133"/>
  <c r="O26" i="133"/>
  <c r="N26" i="133"/>
  <c r="N25" i="133"/>
  <c r="Q24" i="133"/>
  <c r="N24" i="133"/>
  <c r="J24" i="133"/>
  <c r="S24" i="133" s="1"/>
  <c r="P23" i="133"/>
  <c r="Q23" i="133"/>
  <c r="J23" i="133"/>
  <c r="S23" i="133" s="1"/>
  <c r="N23" i="133"/>
  <c r="N22" i="133"/>
  <c r="Q21" i="133"/>
  <c r="O21" i="133"/>
  <c r="N21" i="133"/>
  <c r="Q20" i="133"/>
  <c r="J20" i="133"/>
  <c r="N20" i="133"/>
  <c r="N19" i="133"/>
  <c r="P18" i="133"/>
  <c r="N18" i="133"/>
  <c r="Q18" i="133"/>
  <c r="O18" i="133"/>
  <c r="P17" i="133"/>
  <c r="Q17" i="133"/>
  <c r="O17" i="133"/>
  <c r="N17" i="133"/>
  <c r="N16" i="133"/>
  <c r="Q15" i="133"/>
  <c r="N15" i="133"/>
  <c r="J15" i="133"/>
  <c r="S15" i="133" s="1"/>
  <c r="P14" i="133"/>
  <c r="Q14" i="133"/>
  <c r="J14" i="133"/>
  <c r="S14" i="133" s="1"/>
  <c r="N14" i="133"/>
  <c r="N13" i="133"/>
  <c r="Q12" i="133"/>
  <c r="O12" i="133"/>
  <c r="N12" i="133"/>
  <c r="Q11" i="133"/>
  <c r="J11" i="133"/>
  <c r="N11" i="133"/>
  <c r="N10" i="133"/>
  <c r="P9" i="133"/>
  <c r="N9" i="133"/>
  <c r="Q9" i="133"/>
  <c r="O9" i="133"/>
  <c r="P8" i="133"/>
  <c r="Q8" i="133"/>
  <c r="O8" i="133"/>
  <c r="N8" i="133"/>
  <c r="Q7" i="133"/>
  <c r="N7" i="133"/>
  <c r="N6" i="133"/>
  <c r="Q6" i="133"/>
  <c r="J6" i="133"/>
  <c r="I121" i="134" l="1"/>
  <c r="R26" i="133"/>
  <c r="R42" i="133"/>
  <c r="R45" i="133"/>
  <c r="R38" i="133"/>
  <c r="R44" i="133"/>
  <c r="R102" i="133"/>
  <c r="R17" i="133"/>
  <c r="R23" i="133"/>
  <c r="R59" i="133"/>
  <c r="R8" i="133"/>
  <c r="R14" i="133"/>
  <c r="R18" i="133"/>
  <c r="R35" i="133"/>
  <c r="R39" i="133"/>
  <c r="R41" i="133"/>
  <c r="R60" i="133"/>
  <c r="R62" i="133"/>
  <c r="R65" i="133"/>
  <c r="R68" i="133"/>
  <c r="R71" i="133"/>
  <c r="R74" i="133"/>
  <c r="R77" i="133"/>
  <c r="R80" i="133"/>
  <c r="R83" i="133"/>
  <c r="R86" i="133"/>
  <c r="R89" i="133"/>
  <c r="R90" i="133"/>
  <c r="R9" i="133"/>
  <c r="S98" i="133"/>
  <c r="J8" i="133"/>
  <c r="S8" i="133" s="1"/>
  <c r="O11" i="133"/>
  <c r="P12" i="133"/>
  <c r="R12" i="133" s="1"/>
  <c r="J17" i="133"/>
  <c r="S17" i="133" s="1"/>
  <c r="O20" i="133"/>
  <c r="P21" i="133"/>
  <c r="R21" i="133" s="1"/>
  <c r="J26" i="133"/>
  <c r="S26" i="133" s="1"/>
  <c r="O29" i="133"/>
  <c r="P30" i="133"/>
  <c r="R30" i="133" s="1"/>
  <c r="O33" i="133"/>
  <c r="J62" i="133"/>
  <c r="S62" i="133" s="1"/>
  <c r="R63" i="133"/>
  <c r="J65" i="133"/>
  <c r="S65" i="133" s="1"/>
  <c r="R66" i="133"/>
  <c r="J68" i="133"/>
  <c r="S68" i="133" s="1"/>
  <c r="R69" i="133"/>
  <c r="J71" i="133"/>
  <c r="S71" i="133" s="1"/>
  <c r="R72" i="133"/>
  <c r="J74" i="133"/>
  <c r="S74" i="133" s="1"/>
  <c r="R75" i="133"/>
  <c r="J77" i="133"/>
  <c r="S77" i="133" s="1"/>
  <c r="R78" i="133"/>
  <c r="J80" i="133"/>
  <c r="S80" i="133" s="1"/>
  <c r="R81" i="133"/>
  <c r="J83" i="133"/>
  <c r="S83" i="133" s="1"/>
  <c r="R84" i="133"/>
  <c r="J86" i="133"/>
  <c r="S86" i="133" s="1"/>
  <c r="R87" i="133"/>
  <c r="J89" i="133"/>
  <c r="S89" i="133" s="1"/>
  <c r="P92" i="133"/>
  <c r="R92" i="133" s="1"/>
  <c r="S95" i="133"/>
  <c r="N100" i="133"/>
  <c r="J9" i="133"/>
  <c r="S9" i="133" s="1"/>
  <c r="J27" i="133"/>
  <c r="S27" i="133" s="1"/>
  <c r="O7" i="133"/>
  <c r="P11" i="133"/>
  <c r="R11" i="133" s="1"/>
  <c r="J12" i="133"/>
  <c r="S12" i="133" s="1"/>
  <c r="O15" i="133"/>
  <c r="P20" i="133"/>
  <c r="R20" i="133" s="1"/>
  <c r="J21" i="133"/>
  <c r="S21" i="133" s="1"/>
  <c r="O24" i="133"/>
  <c r="P29" i="133"/>
  <c r="R29" i="133" s="1"/>
  <c r="J30" i="133"/>
  <c r="S30" i="133" s="1"/>
  <c r="P33" i="133"/>
  <c r="R33" i="133" s="1"/>
  <c r="O36" i="133"/>
  <c r="S49" i="133"/>
  <c r="S52" i="133"/>
  <c r="S55" i="133"/>
  <c r="S58" i="133"/>
  <c r="O61" i="133"/>
  <c r="O64" i="133"/>
  <c r="O67" i="133"/>
  <c r="O70" i="133"/>
  <c r="O73" i="133"/>
  <c r="O76" i="133"/>
  <c r="O79" i="133"/>
  <c r="O82" i="133"/>
  <c r="O85" i="133"/>
  <c r="O88" i="133"/>
  <c r="J92" i="133"/>
  <c r="S92" i="133" s="1"/>
  <c r="N97" i="133"/>
  <c r="N107" i="133" s="1"/>
  <c r="O100" i="133"/>
  <c r="P100" i="133"/>
  <c r="R100" i="133" s="1"/>
  <c r="J18" i="133"/>
  <c r="S18" i="133" s="1"/>
  <c r="E107" i="133"/>
  <c r="S11" i="133"/>
  <c r="O14" i="133"/>
  <c r="P15" i="133"/>
  <c r="R15" i="133" s="1"/>
  <c r="S20" i="133"/>
  <c r="O23" i="133"/>
  <c r="P24" i="133"/>
  <c r="R24" i="133" s="1"/>
  <c r="J29" i="133"/>
  <c r="S29" i="133" s="1"/>
  <c r="O32" i="133"/>
  <c r="P32" i="133"/>
  <c r="R32" i="133" s="1"/>
  <c r="J33" i="133"/>
  <c r="S33" i="133" s="1"/>
  <c r="P36" i="133"/>
  <c r="R36" i="133" s="1"/>
  <c r="O39" i="133"/>
  <c r="O42" i="133"/>
  <c r="O45" i="133"/>
  <c r="O48" i="133"/>
  <c r="O51" i="133"/>
  <c r="O54" i="133"/>
  <c r="O57" i="133"/>
  <c r="O60" i="133"/>
  <c r="O91" i="133"/>
  <c r="O97" i="133"/>
  <c r="O99" i="133"/>
  <c r="O103" i="133"/>
  <c r="Q64" i="133"/>
  <c r="P64" i="133"/>
  <c r="Q70" i="133"/>
  <c r="P70" i="133"/>
  <c r="Q76" i="133"/>
  <c r="P76" i="133"/>
  <c r="Q82" i="133"/>
  <c r="P82" i="133"/>
  <c r="Q88" i="133"/>
  <c r="P88" i="133"/>
  <c r="F107" i="133"/>
  <c r="O6" i="133"/>
  <c r="Q10" i="133"/>
  <c r="P10" i="133"/>
  <c r="R10" i="133" s="1"/>
  <c r="Q13" i="133"/>
  <c r="P13" i="133"/>
  <c r="Q16" i="133"/>
  <c r="P16" i="133"/>
  <c r="Q19" i="133"/>
  <c r="P19" i="133"/>
  <c r="R19" i="133" s="1"/>
  <c r="Q22" i="133"/>
  <c r="P22" i="133"/>
  <c r="Q25" i="133"/>
  <c r="P25" i="133"/>
  <c r="Q28" i="133"/>
  <c r="P28" i="133"/>
  <c r="R28" i="133" s="1"/>
  <c r="Q31" i="133"/>
  <c r="P31" i="133"/>
  <c r="Q34" i="133"/>
  <c r="P34" i="133"/>
  <c r="Q37" i="133"/>
  <c r="P37" i="133"/>
  <c r="R37" i="133" s="1"/>
  <c r="Q40" i="133"/>
  <c r="P40" i="133"/>
  <c r="Q43" i="133"/>
  <c r="P43" i="133"/>
  <c r="Q46" i="133"/>
  <c r="P46" i="133"/>
  <c r="R46" i="133" s="1"/>
  <c r="J50" i="133"/>
  <c r="S50" i="133" s="1"/>
  <c r="O50" i="133"/>
  <c r="R50" i="133"/>
  <c r="R51" i="133"/>
  <c r="Q55" i="133"/>
  <c r="P55" i="133"/>
  <c r="R55" i="133" s="1"/>
  <c r="J59" i="133"/>
  <c r="S59" i="133" s="1"/>
  <c r="O59" i="133"/>
  <c r="O66" i="133"/>
  <c r="J66" i="133"/>
  <c r="S66" i="133" s="1"/>
  <c r="O72" i="133"/>
  <c r="J72" i="133"/>
  <c r="S72" i="133" s="1"/>
  <c r="O78" i="133"/>
  <c r="J78" i="133"/>
  <c r="S78" i="133" s="1"/>
  <c r="O84" i="133"/>
  <c r="J84" i="133"/>
  <c r="S84" i="133" s="1"/>
  <c r="O90" i="133"/>
  <c r="J90" i="133"/>
  <c r="S90" i="133" s="1"/>
  <c r="J47" i="133"/>
  <c r="S47" i="133" s="1"/>
  <c r="O47" i="133"/>
  <c r="R47" i="133"/>
  <c r="R48" i="133"/>
  <c r="Q52" i="133"/>
  <c r="P52" i="133"/>
  <c r="R52" i="133" s="1"/>
  <c r="J56" i="133"/>
  <c r="S56" i="133" s="1"/>
  <c r="O56" i="133"/>
  <c r="R56" i="133"/>
  <c r="R57" i="133"/>
  <c r="Q61" i="133"/>
  <c r="P61" i="133"/>
  <c r="R61" i="133" s="1"/>
  <c r="Q67" i="133"/>
  <c r="P67" i="133"/>
  <c r="Q73" i="133"/>
  <c r="P73" i="133"/>
  <c r="Q79" i="133"/>
  <c r="P79" i="133"/>
  <c r="R79" i="133" s="1"/>
  <c r="Q85" i="133"/>
  <c r="P85" i="133"/>
  <c r="P6" i="133"/>
  <c r="S6" i="133"/>
  <c r="P7" i="133"/>
  <c r="R7" i="133" s="1"/>
  <c r="J7" i="133"/>
  <c r="S7" i="133" s="1"/>
  <c r="J10" i="133"/>
  <c r="S10" i="133" s="1"/>
  <c r="O10" i="133"/>
  <c r="J13" i="133"/>
  <c r="S13" i="133" s="1"/>
  <c r="O13" i="133"/>
  <c r="J16" i="133"/>
  <c r="S16" i="133" s="1"/>
  <c r="O16" i="133"/>
  <c r="J19" i="133"/>
  <c r="S19" i="133" s="1"/>
  <c r="O19" i="133"/>
  <c r="J22" i="133"/>
  <c r="S22" i="133" s="1"/>
  <c r="O22" i="133"/>
  <c r="J25" i="133"/>
  <c r="S25" i="133" s="1"/>
  <c r="O25" i="133"/>
  <c r="J28" i="133"/>
  <c r="S28" i="133" s="1"/>
  <c r="O28" i="133"/>
  <c r="J31" i="133"/>
  <c r="S31" i="133" s="1"/>
  <c r="O31" i="133"/>
  <c r="J34" i="133"/>
  <c r="S34" i="133" s="1"/>
  <c r="O34" i="133"/>
  <c r="J37" i="133"/>
  <c r="S37" i="133" s="1"/>
  <c r="O37" i="133"/>
  <c r="J40" i="133"/>
  <c r="S40" i="133" s="1"/>
  <c r="O40" i="133"/>
  <c r="J43" i="133"/>
  <c r="S43" i="133" s="1"/>
  <c r="O43" i="133"/>
  <c r="J46" i="133"/>
  <c r="S46" i="133" s="1"/>
  <c r="O46" i="133"/>
  <c r="O63" i="133"/>
  <c r="J63" i="133"/>
  <c r="S63" i="133" s="1"/>
  <c r="O69" i="133"/>
  <c r="J69" i="133"/>
  <c r="S69" i="133" s="1"/>
  <c r="O75" i="133"/>
  <c r="J75" i="133"/>
  <c r="S75" i="133" s="1"/>
  <c r="O81" i="133"/>
  <c r="J81" i="133"/>
  <c r="S81" i="133" s="1"/>
  <c r="O87" i="133"/>
  <c r="J87" i="133"/>
  <c r="S87" i="133" s="1"/>
  <c r="Q91" i="133"/>
  <c r="P91" i="133"/>
  <c r="D107" i="133"/>
  <c r="J32" i="133"/>
  <c r="S32" i="133" s="1"/>
  <c r="J35" i="133"/>
  <c r="S35" i="133" s="1"/>
  <c r="J38" i="133"/>
  <c r="S38" i="133" s="1"/>
  <c r="J41" i="133"/>
  <c r="S41" i="133" s="1"/>
  <c r="J44" i="133"/>
  <c r="S44" i="133" s="1"/>
  <c r="Q49" i="133"/>
  <c r="P49" i="133"/>
  <c r="J53" i="133"/>
  <c r="S53" i="133" s="1"/>
  <c r="O53" i="133"/>
  <c r="R53" i="133"/>
  <c r="R54" i="133"/>
  <c r="Q58" i="133"/>
  <c r="P58" i="133"/>
  <c r="O98" i="133"/>
  <c r="Q95" i="133"/>
  <c r="P95" i="133"/>
  <c r="R99" i="133"/>
  <c r="J101" i="133"/>
  <c r="S101" i="133" s="1"/>
  <c r="O101" i="133"/>
  <c r="J104" i="133"/>
  <c r="S104" i="133" s="1"/>
  <c r="O104" i="133"/>
  <c r="J93" i="133"/>
  <c r="S93" i="133" s="1"/>
  <c r="J99" i="133"/>
  <c r="S99" i="133" s="1"/>
  <c r="J102" i="133"/>
  <c r="S102" i="133" s="1"/>
  <c r="J105" i="133"/>
  <c r="S105" i="133" s="1"/>
  <c r="O49" i="133"/>
  <c r="O52" i="133"/>
  <c r="O55" i="133"/>
  <c r="O58" i="133"/>
  <c r="P94" i="133"/>
  <c r="R94" i="133" s="1"/>
  <c r="Q98" i="133"/>
  <c r="P98" i="133"/>
  <c r="J61" i="133"/>
  <c r="S61" i="133" s="1"/>
  <c r="J64" i="133"/>
  <c r="S64" i="133" s="1"/>
  <c r="J67" i="133"/>
  <c r="S67" i="133" s="1"/>
  <c r="J70" i="133"/>
  <c r="S70" i="133" s="1"/>
  <c r="J73" i="133"/>
  <c r="S73" i="133" s="1"/>
  <c r="J76" i="133"/>
  <c r="S76" i="133" s="1"/>
  <c r="J79" i="133"/>
  <c r="S79" i="133" s="1"/>
  <c r="J82" i="133"/>
  <c r="S82" i="133" s="1"/>
  <c r="J85" i="133"/>
  <c r="S85" i="133" s="1"/>
  <c r="J88" i="133"/>
  <c r="S88" i="133" s="1"/>
  <c r="J91" i="133"/>
  <c r="S91" i="133" s="1"/>
  <c r="J94" i="133"/>
  <c r="S94" i="133" s="1"/>
  <c r="O95" i="133"/>
  <c r="O96" i="133"/>
  <c r="Q101" i="133"/>
  <c r="P101" i="133"/>
  <c r="Q104" i="133"/>
  <c r="P104" i="133"/>
  <c r="I107" i="133"/>
  <c r="R96" i="133"/>
  <c r="P97" i="133"/>
  <c r="R97" i="133" s="1"/>
  <c r="H121" i="134"/>
  <c r="R91" i="133" l="1"/>
  <c r="R88" i="133"/>
  <c r="R70" i="133"/>
  <c r="R95" i="133"/>
  <c r="N108" i="133"/>
  <c r="R58" i="133"/>
  <c r="R49" i="133"/>
  <c r="R76" i="133"/>
  <c r="Q107" i="133"/>
  <c r="Q108" i="133" s="1"/>
  <c r="R104" i="133"/>
  <c r="R98" i="133"/>
  <c r="R82" i="133"/>
  <c r="R64" i="133"/>
  <c r="R85" i="133"/>
  <c r="R67" i="133"/>
  <c r="R40" i="133"/>
  <c r="R31" i="133"/>
  <c r="R22" i="133"/>
  <c r="R13" i="133"/>
  <c r="R101" i="133"/>
  <c r="J107" i="133"/>
  <c r="P107" i="133"/>
  <c r="P108" i="133" s="1"/>
  <c r="R6" i="133"/>
  <c r="O107" i="133"/>
  <c r="O108" i="133" s="1"/>
  <c r="S107" i="133"/>
  <c r="R73" i="133"/>
  <c r="R43" i="133"/>
  <c r="R34" i="133"/>
  <c r="R25" i="133"/>
  <c r="R16" i="133"/>
  <c r="S108" i="133" l="1"/>
  <c r="R107" i="133"/>
  <c r="R108" i="133" s="1"/>
  <c r="H119" i="132" l="1"/>
  <c r="I119" i="132" s="1"/>
  <c r="H117" i="132"/>
  <c r="I117" i="132" s="1"/>
  <c r="H116" i="132"/>
  <c r="I116" i="132" s="1"/>
  <c r="H115" i="132"/>
  <c r="I115" i="132" s="1"/>
  <c r="H114" i="132"/>
  <c r="I114" i="132" s="1"/>
  <c r="H113" i="132"/>
  <c r="I113" i="132" s="1"/>
  <c r="H112" i="132"/>
  <c r="I112" i="132" s="1"/>
  <c r="H111" i="132"/>
  <c r="I111" i="132" s="1"/>
  <c r="H110" i="132"/>
  <c r="I110" i="132" s="1"/>
  <c r="H109" i="132"/>
  <c r="I109" i="132" s="1"/>
  <c r="H108" i="132"/>
  <c r="I108" i="132" s="1"/>
  <c r="H107" i="132"/>
  <c r="I107" i="132" s="1"/>
  <c r="H106" i="132"/>
  <c r="I106" i="132" s="1"/>
  <c r="H105" i="132"/>
  <c r="I105" i="132" s="1"/>
  <c r="H104" i="132"/>
  <c r="I104" i="132" s="1"/>
  <c r="H103" i="132"/>
  <c r="I103" i="132" s="1"/>
  <c r="H102" i="132"/>
  <c r="I102" i="132" s="1"/>
  <c r="H101" i="132"/>
  <c r="I101" i="132" s="1"/>
  <c r="H100" i="132"/>
  <c r="I100" i="132" s="1"/>
  <c r="I99" i="132"/>
  <c r="H99" i="132"/>
  <c r="H98" i="132"/>
  <c r="I98" i="132" s="1"/>
  <c r="H97" i="132"/>
  <c r="I97" i="132" s="1"/>
  <c r="H96" i="132"/>
  <c r="I96" i="132" s="1"/>
  <c r="H95" i="132"/>
  <c r="I95" i="132" s="1"/>
  <c r="H94" i="132"/>
  <c r="I94" i="132" s="1"/>
  <c r="H92" i="132"/>
  <c r="I92" i="132" s="1"/>
  <c r="H91" i="132"/>
  <c r="I91" i="132" s="1"/>
  <c r="H90" i="132"/>
  <c r="I90" i="132" s="1"/>
  <c r="H89" i="132"/>
  <c r="I89" i="132" s="1"/>
  <c r="I88" i="132"/>
  <c r="H88" i="132"/>
  <c r="H87" i="132"/>
  <c r="I87" i="132" s="1"/>
  <c r="H86" i="132"/>
  <c r="I86" i="132" s="1"/>
  <c r="H85" i="132"/>
  <c r="I85" i="132" s="1"/>
  <c r="H84" i="132"/>
  <c r="I84" i="132" s="1"/>
  <c r="H83" i="132"/>
  <c r="I83" i="132" s="1"/>
  <c r="H82" i="132"/>
  <c r="I82" i="132" s="1"/>
  <c r="H81" i="132"/>
  <c r="I81" i="132" s="1"/>
  <c r="H80" i="132"/>
  <c r="I80" i="132" s="1"/>
  <c r="H79" i="132"/>
  <c r="I79" i="132" s="1"/>
  <c r="H78" i="132"/>
  <c r="I78" i="132" s="1"/>
  <c r="H77" i="132"/>
  <c r="I77" i="132" s="1"/>
  <c r="H76" i="132"/>
  <c r="I76" i="132" s="1"/>
  <c r="H75" i="132"/>
  <c r="I75" i="132" s="1"/>
  <c r="H74" i="132"/>
  <c r="I74" i="132" s="1"/>
  <c r="H73" i="132"/>
  <c r="I73" i="132" s="1"/>
  <c r="H72" i="132"/>
  <c r="I72" i="132" s="1"/>
  <c r="H71" i="132"/>
  <c r="I71" i="132" s="1"/>
  <c r="H70" i="132"/>
  <c r="I70" i="132" s="1"/>
  <c r="H69" i="132"/>
  <c r="I69" i="132" s="1"/>
  <c r="H68" i="132"/>
  <c r="I68" i="132" s="1"/>
  <c r="H67" i="132"/>
  <c r="I67" i="132" s="1"/>
  <c r="I66" i="132"/>
  <c r="H66" i="132"/>
  <c r="H64" i="132"/>
  <c r="I64" i="132" s="1"/>
  <c r="H63" i="132"/>
  <c r="I63" i="132" s="1"/>
  <c r="H62" i="132"/>
  <c r="I62" i="132" s="1"/>
  <c r="H61" i="132"/>
  <c r="I61" i="132" s="1"/>
  <c r="H60" i="132"/>
  <c r="I60" i="132" s="1"/>
  <c r="H59" i="132"/>
  <c r="I59" i="132" s="1"/>
  <c r="H58" i="132"/>
  <c r="I58" i="132" s="1"/>
  <c r="H57" i="132"/>
  <c r="I57" i="132" s="1"/>
  <c r="H56" i="132"/>
  <c r="I56" i="132" s="1"/>
  <c r="H55" i="132"/>
  <c r="I55" i="132" s="1"/>
  <c r="H53" i="132"/>
  <c r="I53" i="132" s="1"/>
  <c r="H52" i="132"/>
  <c r="I52" i="132" s="1"/>
  <c r="H51" i="132"/>
  <c r="I51" i="132" s="1"/>
  <c r="H50" i="132"/>
  <c r="I50" i="132" s="1"/>
  <c r="H49" i="132"/>
  <c r="I49" i="132" s="1"/>
  <c r="I48" i="132"/>
  <c r="H48" i="132"/>
  <c r="H47" i="132"/>
  <c r="I47" i="132" s="1"/>
  <c r="H46" i="132"/>
  <c r="I46" i="132" s="1"/>
  <c r="H45" i="132"/>
  <c r="I45" i="132" s="1"/>
  <c r="H43" i="132"/>
  <c r="I43" i="132" s="1"/>
  <c r="H42" i="132"/>
  <c r="I42" i="132" s="1"/>
  <c r="H41" i="132"/>
  <c r="I41" i="132" s="1"/>
  <c r="H40" i="132"/>
  <c r="I40" i="132" s="1"/>
  <c r="H39" i="132"/>
  <c r="I39" i="132" s="1"/>
  <c r="H38" i="132"/>
  <c r="I38" i="132" s="1"/>
  <c r="I37" i="132"/>
  <c r="H37" i="132"/>
  <c r="H36" i="132"/>
  <c r="I36" i="132" s="1"/>
  <c r="H35" i="132"/>
  <c r="I35" i="132" s="1"/>
  <c r="H34" i="132"/>
  <c r="I34" i="132" s="1"/>
  <c r="H33" i="132"/>
  <c r="I33" i="132" s="1"/>
  <c r="H31" i="132"/>
  <c r="I31" i="132" s="1"/>
  <c r="H30" i="132"/>
  <c r="I30" i="132" s="1"/>
  <c r="H29" i="132"/>
  <c r="I29" i="132" s="1"/>
  <c r="H28" i="132"/>
  <c r="I28" i="132" s="1"/>
  <c r="H27" i="132"/>
  <c r="I27" i="132" s="1"/>
  <c r="H26" i="132"/>
  <c r="I26" i="132" s="1"/>
  <c r="H25" i="132"/>
  <c r="I25" i="132" s="1"/>
  <c r="H24" i="132"/>
  <c r="I24" i="132" s="1"/>
  <c r="H23" i="132"/>
  <c r="I23" i="132" s="1"/>
  <c r="H22" i="132"/>
  <c r="I22" i="132" s="1"/>
  <c r="H21" i="132"/>
  <c r="I21" i="132" s="1"/>
  <c r="H20" i="132"/>
  <c r="I20" i="132" s="1"/>
  <c r="H19" i="132"/>
  <c r="I19" i="132" s="1"/>
  <c r="H18" i="132"/>
  <c r="I18" i="132" s="1"/>
  <c r="H17" i="132"/>
  <c r="I17" i="132" s="1"/>
  <c r="H16" i="132"/>
  <c r="I16" i="132" s="1"/>
  <c r="H15" i="132"/>
  <c r="I15" i="132" s="1"/>
  <c r="I14" i="132"/>
  <c r="H14" i="132"/>
  <c r="H13" i="132"/>
  <c r="I13" i="132" s="1"/>
  <c r="H12" i="132"/>
  <c r="I12" i="132" s="1"/>
  <c r="H11" i="132"/>
  <c r="I11" i="132" s="1"/>
  <c r="H9" i="132"/>
  <c r="I9" i="132" s="1"/>
  <c r="H8" i="132"/>
  <c r="I8" i="132" s="1"/>
  <c r="H7" i="132"/>
  <c r="I7" i="132" s="1"/>
  <c r="H6" i="132"/>
  <c r="I6" i="132" s="1"/>
  <c r="H5" i="132"/>
  <c r="I5" i="132" s="1"/>
  <c r="H107" i="131"/>
  <c r="G107" i="131"/>
  <c r="P105" i="131"/>
  <c r="Q105" i="131"/>
  <c r="N105" i="131"/>
  <c r="P104" i="131"/>
  <c r="Q104" i="131"/>
  <c r="O104" i="131"/>
  <c r="J104" i="131"/>
  <c r="S104" i="131" s="1"/>
  <c r="N103" i="131"/>
  <c r="Q103" i="131"/>
  <c r="O103" i="131"/>
  <c r="J103" i="131"/>
  <c r="S103" i="131" s="1"/>
  <c r="Q102" i="131"/>
  <c r="N102" i="131"/>
  <c r="P102" i="131"/>
  <c r="J102" i="131"/>
  <c r="O102" i="131"/>
  <c r="Q101" i="131"/>
  <c r="N101" i="131"/>
  <c r="Q100" i="131"/>
  <c r="N100" i="131"/>
  <c r="Q99" i="131"/>
  <c r="N99" i="131"/>
  <c r="P99" i="131"/>
  <c r="O99" i="131"/>
  <c r="J99" i="131"/>
  <c r="S99" i="131" s="1"/>
  <c r="Q98" i="131"/>
  <c r="N98" i="131"/>
  <c r="P98" i="131"/>
  <c r="J98" i="131"/>
  <c r="O98" i="131"/>
  <c r="Q97" i="131"/>
  <c r="P97" i="131"/>
  <c r="N97" i="131"/>
  <c r="P96" i="131"/>
  <c r="O96" i="131"/>
  <c r="Q96" i="131"/>
  <c r="J96" i="131"/>
  <c r="S96" i="131" s="1"/>
  <c r="N95" i="131"/>
  <c r="Q95" i="131"/>
  <c r="O95" i="131"/>
  <c r="J95" i="131"/>
  <c r="S95" i="131" s="1"/>
  <c r="Q94" i="131"/>
  <c r="N94" i="131"/>
  <c r="P94" i="131"/>
  <c r="J94" i="131"/>
  <c r="S94" i="131" s="1"/>
  <c r="O94" i="131"/>
  <c r="Q93" i="131"/>
  <c r="P93" i="131"/>
  <c r="N93" i="131"/>
  <c r="J92" i="131"/>
  <c r="S92" i="131" s="1"/>
  <c r="N92" i="131"/>
  <c r="N91" i="131"/>
  <c r="Q91" i="131"/>
  <c r="O91" i="131"/>
  <c r="J91" i="131"/>
  <c r="S91" i="131" s="1"/>
  <c r="Q90" i="131"/>
  <c r="N90" i="131"/>
  <c r="P90" i="131"/>
  <c r="J90" i="131"/>
  <c r="S90" i="131" s="1"/>
  <c r="O90" i="131"/>
  <c r="P89" i="131"/>
  <c r="N89" i="131"/>
  <c r="P88" i="131"/>
  <c r="R88" i="131" s="1"/>
  <c r="Q88" i="131"/>
  <c r="O88" i="131"/>
  <c r="J88" i="131"/>
  <c r="S88" i="131" s="1"/>
  <c r="N87" i="131"/>
  <c r="Q87" i="131"/>
  <c r="O87" i="131"/>
  <c r="J87" i="131"/>
  <c r="S87" i="131" s="1"/>
  <c r="Q86" i="131"/>
  <c r="N86" i="131"/>
  <c r="P86" i="131"/>
  <c r="J86" i="131"/>
  <c r="S86" i="131" s="1"/>
  <c r="O86" i="131"/>
  <c r="Q85" i="131"/>
  <c r="P85" i="131"/>
  <c r="N85" i="131"/>
  <c r="O84" i="131"/>
  <c r="J84" i="131"/>
  <c r="S84" i="131" s="1"/>
  <c r="N84" i="131"/>
  <c r="Q83" i="131"/>
  <c r="P83" i="131"/>
  <c r="O83" i="131"/>
  <c r="J83" i="131"/>
  <c r="S83" i="131" s="1"/>
  <c r="N83" i="131"/>
  <c r="Q82" i="131"/>
  <c r="N82" i="131"/>
  <c r="P82" i="131"/>
  <c r="J82" i="131"/>
  <c r="S82" i="131" s="1"/>
  <c r="O82" i="131"/>
  <c r="N81" i="131"/>
  <c r="P80" i="131"/>
  <c r="Q80" i="131"/>
  <c r="O79" i="131"/>
  <c r="Q79" i="131"/>
  <c r="J79" i="131"/>
  <c r="S79" i="131" s="1"/>
  <c r="N79" i="131"/>
  <c r="Q78" i="131"/>
  <c r="N78" i="131"/>
  <c r="P78" i="131"/>
  <c r="J78" i="131"/>
  <c r="O78" i="131"/>
  <c r="Q77" i="131"/>
  <c r="P77" i="131"/>
  <c r="N77" i="131"/>
  <c r="P76" i="131"/>
  <c r="Q76" i="131"/>
  <c r="O76" i="131"/>
  <c r="J76" i="131"/>
  <c r="S76" i="131" s="1"/>
  <c r="N75" i="131"/>
  <c r="Q75" i="131"/>
  <c r="O75" i="131"/>
  <c r="J75" i="131"/>
  <c r="S75" i="131" s="1"/>
  <c r="Q74" i="131"/>
  <c r="N74" i="131"/>
  <c r="P74" i="131"/>
  <c r="J74" i="131"/>
  <c r="O74" i="131"/>
  <c r="P73" i="131"/>
  <c r="Q73" i="131"/>
  <c r="N73" i="131"/>
  <c r="O71" i="131"/>
  <c r="Q71" i="131"/>
  <c r="J71" i="131"/>
  <c r="S71" i="131" s="1"/>
  <c r="N71" i="131"/>
  <c r="Q70" i="131"/>
  <c r="N70" i="131"/>
  <c r="P70" i="131"/>
  <c r="J70" i="131"/>
  <c r="O70" i="131"/>
  <c r="P69" i="131"/>
  <c r="N69" i="131"/>
  <c r="Q69" i="131"/>
  <c r="P68" i="131"/>
  <c r="O68" i="131"/>
  <c r="Q68" i="131"/>
  <c r="J68" i="131"/>
  <c r="S68" i="131" s="1"/>
  <c r="N67" i="131"/>
  <c r="Q67" i="131"/>
  <c r="O67" i="131"/>
  <c r="J67" i="131"/>
  <c r="S67" i="131" s="1"/>
  <c r="Q66" i="131"/>
  <c r="N66" i="131"/>
  <c r="P66" i="131"/>
  <c r="O66" i="131"/>
  <c r="J66" i="131"/>
  <c r="S66" i="131" s="1"/>
  <c r="Q65" i="131"/>
  <c r="N65" i="131"/>
  <c r="P65" i="131"/>
  <c r="P64" i="131"/>
  <c r="Q64" i="131"/>
  <c r="O64" i="131"/>
  <c r="J64" i="131"/>
  <c r="S64" i="131" s="1"/>
  <c r="N63" i="131"/>
  <c r="Q63" i="131"/>
  <c r="O63" i="131"/>
  <c r="J63" i="131"/>
  <c r="S63" i="131" s="1"/>
  <c r="Q62" i="131"/>
  <c r="N62" i="131"/>
  <c r="P62" i="131"/>
  <c r="O62" i="131"/>
  <c r="J62" i="131"/>
  <c r="N61" i="131"/>
  <c r="P61" i="131"/>
  <c r="O61" i="131"/>
  <c r="Q60" i="131"/>
  <c r="N60" i="131"/>
  <c r="N59" i="131"/>
  <c r="J59" i="131"/>
  <c r="S59" i="131" s="1"/>
  <c r="O59" i="131"/>
  <c r="P58" i="131"/>
  <c r="O58" i="131"/>
  <c r="Q58" i="131"/>
  <c r="J58" i="131"/>
  <c r="S58" i="131" s="1"/>
  <c r="N57" i="131"/>
  <c r="Q57" i="131"/>
  <c r="O57" i="131"/>
  <c r="J57" i="131"/>
  <c r="S57" i="131" s="1"/>
  <c r="Q56" i="131"/>
  <c r="N56" i="131"/>
  <c r="P56" i="131"/>
  <c r="O56" i="131"/>
  <c r="J56" i="131"/>
  <c r="S56" i="131" s="1"/>
  <c r="P55" i="131"/>
  <c r="N55" i="131"/>
  <c r="Q55" i="131"/>
  <c r="J55" i="131"/>
  <c r="S55" i="131" s="1"/>
  <c r="O55" i="131"/>
  <c r="P54" i="131"/>
  <c r="Q54" i="131"/>
  <c r="O54" i="131"/>
  <c r="J54" i="131"/>
  <c r="S54" i="131" s="1"/>
  <c r="P53" i="131"/>
  <c r="O53" i="131"/>
  <c r="Q53" i="131"/>
  <c r="J53" i="131"/>
  <c r="S53" i="131" s="1"/>
  <c r="Q52" i="131"/>
  <c r="P52" i="131"/>
  <c r="O52" i="131"/>
  <c r="J52" i="131"/>
  <c r="S52" i="131" s="1"/>
  <c r="N52" i="131"/>
  <c r="P51" i="131"/>
  <c r="N51" i="131"/>
  <c r="Q51" i="131"/>
  <c r="O51" i="131"/>
  <c r="Q50" i="131"/>
  <c r="P50" i="131"/>
  <c r="P49" i="131"/>
  <c r="N49" i="131"/>
  <c r="Q49" i="131"/>
  <c r="O49" i="131"/>
  <c r="Q48" i="131"/>
  <c r="P48" i="131"/>
  <c r="O48" i="131"/>
  <c r="J48" i="131"/>
  <c r="S48" i="131" s="1"/>
  <c r="N48" i="131"/>
  <c r="N47" i="131"/>
  <c r="Q47" i="131"/>
  <c r="P46" i="131"/>
  <c r="J46" i="131"/>
  <c r="S46" i="131" s="1"/>
  <c r="N46" i="131"/>
  <c r="Q45" i="131"/>
  <c r="O45" i="131"/>
  <c r="J45" i="131"/>
  <c r="S45" i="131" s="1"/>
  <c r="N45" i="131"/>
  <c r="Q44" i="131"/>
  <c r="P44" i="131"/>
  <c r="O44" i="131"/>
  <c r="J44" i="131"/>
  <c r="N44" i="131"/>
  <c r="N43" i="131"/>
  <c r="P43" i="131"/>
  <c r="O43" i="131"/>
  <c r="P42" i="131"/>
  <c r="Q42" i="131"/>
  <c r="J42" i="131"/>
  <c r="S42" i="131" s="1"/>
  <c r="Q41" i="131"/>
  <c r="O41" i="131"/>
  <c r="N41" i="131"/>
  <c r="Q40" i="131"/>
  <c r="N40" i="131"/>
  <c r="P40" i="131"/>
  <c r="O40" i="131"/>
  <c r="J40" i="131"/>
  <c r="P39" i="131"/>
  <c r="N39" i="131"/>
  <c r="Q39" i="131"/>
  <c r="J39" i="131"/>
  <c r="O39" i="131"/>
  <c r="O38" i="131"/>
  <c r="Q38" i="131"/>
  <c r="J38" i="131"/>
  <c r="S38" i="131" s="1"/>
  <c r="N38" i="131"/>
  <c r="Q37" i="131"/>
  <c r="J37" i="131"/>
  <c r="S37" i="131" s="1"/>
  <c r="N37" i="131"/>
  <c r="Q36" i="131"/>
  <c r="N36" i="131"/>
  <c r="P36" i="131"/>
  <c r="O36" i="131"/>
  <c r="J36" i="131"/>
  <c r="S36" i="131" s="1"/>
  <c r="N35" i="131"/>
  <c r="Q35" i="131"/>
  <c r="J35" i="131"/>
  <c r="S35" i="131" s="1"/>
  <c r="O35" i="131"/>
  <c r="P34" i="131"/>
  <c r="Q34" i="131"/>
  <c r="N34" i="131"/>
  <c r="N33" i="131"/>
  <c r="Q33" i="131"/>
  <c r="J33" i="131"/>
  <c r="S33" i="131" s="1"/>
  <c r="O33" i="131"/>
  <c r="Q32" i="131"/>
  <c r="N32" i="131"/>
  <c r="P32" i="131"/>
  <c r="O32" i="131"/>
  <c r="J32" i="131"/>
  <c r="S32" i="131" s="1"/>
  <c r="P31" i="131"/>
  <c r="N31" i="131"/>
  <c r="Q31" i="131"/>
  <c r="Q30" i="131"/>
  <c r="O30" i="131"/>
  <c r="P30" i="131"/>
  <c r="J30" i="131"/>
  <c r="S30" i="131" s="1"/>
  <c r="N30" i="131"/>
  <c r="N29" i="131"/>
  <c r="Q29" i="131"/>
  <c r="O29" i="131"/>
  <c r="J29" i="131"/>
  <c r="S29" i="131" s="1"/>
  <c r="Q28" i="131"/>
  <c r="O28" i="131"/>
  <c r="P28" i="131"/>
  <c r="J28" i="131"/>
  <c r="S28" i="131" s="1"/>
  <c r="N28" i="131"/>
  <c r="Q27" i="131"/>
  <c r="N27" i="131"/>
  <c r="P27" i="131"/>
  <c r="J27" i="131"/>
  <c r="S27" i="131" s="1"/>
  <c r="O27" i="131"/>
  <c r="P26" i="131"/>
  <c r="O26" i="131"/>
  <c r="Q26" i="131"/>
  <c r="J26" i="131"/>
  <c r="S26" i="131" s="1"/>
  <c r="N25" i="131"/>
  <c r="Q25" i="131"/>
  <c r="O25" i="131"/>
  <c r="J25" i="131"/>
  <c r="S25" i="131" s="1"/>
  <c r="Q24" i="131"/>
  <c r="N24" i="131"/>
  <c r="P24" i="131"/>
  <c r="O24" i="131"/>
  <c r="J24" i="131"/>
  <c r="S24" i="131" s="1"/>
  <c r="P23" i="131"/>
  <c r="N23" i="131"/>
  <c r="Q23" i="131"/>
  <c r="J23" i="131"/>
  <c r="S23" i="131" s="1"/>
  <c r="O23" i="131"/>
  <c r="P22" i="131"/>
  <c r="Q22" i="131"/>
  <c r="O22" i="131"/>
  <c r="J22" i="131"/>
  <c r="S22" i="131" s="1"/>
  <c r="P21" i="131"/>
  <c r="O21" i="131"/>
  <c r="Q21" i="131"/>
  <c r="J21" i="131"/>
  <c r="S21" i="131" s="1"/>
  <c r="Q20" i="131"/>
  <c r="P20" i="131"/>
  <c r="O20" i="131"/>
  <c r="J20" i="131"/>
  <c r="S20" i="131" s="1"/>
  <c r="N20" i="131"/>
  <c r="P19" i="131"/>
  <c r="N19" i="131"/>
  <c r="Q19" i="131"/>
  <c r="O19" i="131"/>
  <c r="Q18" i="131"/>
  <c r="P18" i="131"/>
  <c r="P17" i="131"/>
  <c r="N17" i="131"/>
  <c r="Q17" i="131"/>
  <c r="O17" i="131"/>
  <c r="Q16" i="131"/>
  <c r="P16" i="131"/>
  <c r="O16" i="131"/>
  <c r="J16" i="131"/>
  <c r="S16" i="131" s="1"/>
  <c r="N16" i="131"/>
  <c r="Q15" i="131"/>
  <c r="N15" i="131"/>
  <c r="N14" i="131"/>
  <c r="Q14" i="131"/>
  <c r="J14" i="131"/>
  <c r="S14" i="131" s="1"/>
  <c r="O14" i="131"/>
  <c r="P13" i="131"/>
  <c r="O13" i="131"/>
  <c r="J13" i="131"/>
  <c r="S13" i="131" s="1"/>
  <c r="N13" i="131"/>
  <c r="Q12" i="131"/>
  <c r="N12" i="131"/>
  <c r="P12" i="131"/>
  <c r="O12" i="131"/>
  <c r="J12" i="131"/>
  <c r="S12" i="131" s="1"/>
  <c r="Q11" i="131"/>
  <c r="N11" i="131"/>
  <c r="P11" i="131"/>
  <c r="J11" i="131"/>
  <c r="S11" i="131" s="1"/>
  <c r="O11" i="131"/>
  <c r="Q10" i="131"/>
  <c r="O10" i="131"/>
  <c r="N10" i="131"/>
  <c r="Q9" i="131"/>
  <c r="O9" i="131"/>
  <c r="J9" i="131"/>
  <c r="S9" i="131" s="1"/>
  <c r="N9" i="131"/>
  <c r="Q8" i="131"/>
  <c r="N8" i="131"/>
  <c r="P8" i="131"/>
  <c r="O8" i="131"/>
  <c r="J8" i="131"/>
  <c r="S8" i="131" s="1"/>
  <c r="Q7" i="131"/>
  <c r="N7" i="131"/>
  <c r="P7" i="131"/>
  <c r="J7" i="131"/>
  <c r="S7" i="131" s="1"/>
  <c r="O7" i="131"/>
  <c r="D107" i="131"/>
  <c r="Q6" i="131"/>
  <c r="F107" i="131"/>
  <c r="N6" i="131"/>
  <c r="R52" i="131" l="1"/>
  <c r="R83" i="131"/>
  <c r="R68" i="131"/>
  <c r="R105" i="131"/>
  <c r="R76" i="131"/>
  <c r="R8" i="131"/>
  <c r="R11" i="131"/>
  <c r="R73" i="131"/>
  <c r="R102" i="131"/>
  <c r="R16" i="131"/>
  <c r="R20" i="131"/>
  <c r="R62" i="131"/>
  <c r="R66" i="131"/>
  <c r="R12" i="131"/>
  <c r="R31" i="131"/>
  <c r="R32" i="131"/>
  <c r="R55" i="131"/>
  <c r="R58" i="131"/>
  <c r="R70" i="131"/>
  <c r="R80" i="131"/>
  <c r="R23" i="131"/>
  <c r="R24" i="131"/>
  <c r="R26" i="131"/>
  <c r="R36" i="131"/>
  <c r="R44" i="131"/>
  <c r="R49" i="131"/>
  <c r="R78" i="131"/>
  <c r="R90" i="131"/>
  <c r="R27" i="131"/>
  <c r="R28" i="131"/>
  <c r="R40" i="131"/>
  <c r="R56" i="131"/>
  <c r="R86" i="131"/>
  <c r="R99" i="131"/>
  <c r="R7" i="131"/>
  <c r="R18" i="131"/>
  <c r="R21" i="131"/>
  <c r="R39" i="131"/>
  <c r="S40" i="131"/>
  <c r="R48" i="131"/>
  <c r="R64" i="131"/>
  <c r="R74" i="131"/>
  <c r="R94" i="131"/>
  <c r="R96" i="131"/>
  <c r="R98" i="131"/>
  <c r="R17" i="131"/>
  <c r="R50" i="131"/>
  <c r="R53" i="131"/>
  <c r="R104" i="131"/>
  <c r="P6" i="131"/>
  <c r="P10" i="131"/>
  <c r="R10" i="131" s="1"/>
  <c r="R19" i="131"/>
  <c r="R22" i="131"/>
  <c r="O47" i="131"/>
  <c r="J47" i="131"/>
  <c r="S47" i="131" s="1"/>
  <c r="J80" i="131"/>
  <c r="S80" i="131" s="1"/>
  <c r="O80" i="131"/>
  <c r="I107" i="131"/>
  <c r="P9" i="131"/>
  <c r="R9" i="131" s="1"/>
  <c r="O15" i="131"/>
  <c r="J15" i="131"/>
  <c r="S15" i="131" s="1"/>
  <c r="S39" i="131"/>
  <c r="N50" i="131"/>
  <c r="S62" i="131"/>
  <c r="R69" i="131"/>
  <c r="N72" i="131"/>
  <c r="Q72" i="131"/>
  <c r="P72" i="131"/>
  <c r="Q81" i="131"/>
  <c r="P81" i="131"/>
  <c r="O85" i="131"/>
  <c r="J85" i="131"/>
  <c r="S85" i="131" s="1"/>
  <c r="J100" i="131"/>
  <c r="S100" i="131" s="1"/>
  <c r="O100" i="131"/>
  <c r="S102" i="131"/>
  <c r="J6" i="131"/>
  <c r="J10" i="131"/>
  <c r="S10" i="131" s="1"/>
  <c r="P15" i="131"/>
  <c r="R15" i="131" s="1"/>
  <c r="J18" i="131"/>
  <c r="S18" i="131" s="1"/>
  <c r="O18" i="131"/>
  <c r="N21" i="131"/>
  <c r="P25" i="131"/>
  <c r="R25" i="131" s="1"/>
  <c r="R30" i="131"/>
  <c r="O31" i="131"/>
  <c r="J31" i="131"/>
  <c r="S31" i="131" s="1"/>
  <c r="P33" i="131"/>
  <c r="R33" i="131" s="1"/>
  <c r="P35" i="131"/>
  <c r="R35" i="131" s="1"/>
  <c r="O37" i="131"/>
  <c r="P38" i="131"/>
  <c r="R38" i="131" s="1"/>
  <c r="J41" i="131"/>
  <c r="S41" i="131" s="1"/>
  <c r="O42" i="131"/>
  <c r="J43" i="131"/>
  <c r="S43" i="131" s="1"/>
  <c r="S44" i="131"/>
  <c r="O46" i="131"/>
  <c r="P47" i="131"/>
  <c r="R47" i="131" s="1"/>
  <c r="J50" i="131"/>
  <c r="S50" i="131" s="1"/>
  <c r="O50" i="131"/>
  <c r="N53" i="131"/>
  <c r="P57" i="131"/>
  <c r="R57" i="131" s="1"/>
  <c r="Q59" i="131"/>
  <c r="P59" i="131"/>
  <c r="J60" i="131"/>
  <c r="S60" i="131" s="1"/>
  <c r="O60" i="131"/>
  <c r="J61" i="131"/>
  <c r="S61" i="131" s="1"/>
  <c r="R65" i="131"/>
  <c r="J72" i="131"/>
  <c r="S72" i="131" s="1"/>
  <c r="O72" i="131"/>
  <c r="O81" i="131"/>
  <c r="J81" i="131"/>
  <c r="S81" i="131" s="1"/>
  <c r="Q89" i="131"/>
  <c r="R89" i="131" s="1"/>
  <c r="O92" i="131"/>
  <c r="R97" i="131"/>
  <c r="S98" i="131"/>
  <c r="P100" i="131"/>
  <c r="R100" i="131" s="1"/>
  <c r="J34" i="131"/>
  <c r="S34" i="131" s="1"/>
  <c r="O34" i="131"/>
  <c r="P41" i="131"/>
  <c r="R41" i="131" s="1"/>
  <c r="R51" i="131"/>
  <c r="R54" i="131"/>
  <c r="Q13" i="131"/>
  <c r="N18" i="131"/>
  <c r="N22" i="131"/>
  <c r="R34" i="131"/>
  <c r="N54" i="131"/>
  <c r="E107" i="131"/>
  <c r="O6" i="131"/>
  <c r="P14" i="131"/>
  <c r="R14" i="131" s="1"/>
  <c r="J17" i="131"/>
  <c r="S17" i="131" s="1"/>
  <c r="J19" i="131"/>
  <c r="S19" i="131" s="1"/>
  <c r="P37" i="131"/>
  <c r="R37" i="131" s="1"/>
  <c r="R42" i="131"/>
  <c r="Q43" i="131"/>
  <c r="R43" i="131" s="1"/>
  <c r="Q46" i="131"/>
  <c r="R46" i="131" s="1"/>
  <c r="J49" i="131"/>
  <c r="S49" i="131" s="1"/>
  <c r="J51" i="131"/>
  <c r="S51" i="131" s="1"/>
  <c r="P60" i="131"/>
  <c r="R60" i="131" s="1"/>
  <c r="Q61" i="131"/>
  <c r="R61" i="131" s="1"/>
  <c r="O73" i="131"/>
  <c r="J73" i="131"/>
  <c r="S73" i="131" s="1"/>
  <c r="R77" i="131"/>
  <c r="O93" i="131"/>
  <c r="J93" i="131"/>
  <c r="S93" i="131" s="1"/>
  <c r="P101" i="131"/>
  <c r="R101" i="131" s="1"/>
  <c r="I121" i="132"/>
  <c r="N26" i="131"/>
  <c r="P29" i="131"/>
  <c r="R29" i="131" s="1"/>
  <c r="N42" i="131"/>
  <c r="P45" i="131"/>
  <c r="R45" i="131" s="1"/>
  <c r="N58" i="131"/>
  <c r="N68" i="131"/>
  <c r="O69" i="131"/>
  <c r="J69" i="131"/>
  <c r="S69" i="131" s="1"/>
  <c r="S74" i="131"/>
  <c r="N80" i="131"/>
  <c r="R82" i="131"/>
  <c r="Q84" i="131"/>
  <c r="P84" i="131"/>
  <c r="R85" i="131"/>
  <c r="N88" i="131"/>
  <c r="O89" i="131"/>
  <c r="J89" i="131"/>
  <c r="S89" i="131" s="1"/>
  <c r="Q92" i="131"/>
  <c r="P92" i="131"/>
  <c r="R93" i="131"/>
  <c r="N96" i="131"/>
  <c r="O97" i="131"/>
  <c r="J97" i="131"/>
  <c r="S97" i="131" s="1"/>
  <c r="O101" i="131"/>
  <c r="J101" i="131"/>
  <c r="S101" i="131" s="1"/>
  <c r="H121" i="132"/>
  <c r="N64" i="131"/>
  <c r="O65" i="131"/>
  <c r="J65" i="131"/>
  <c r="S65" i="131" s="1"/>
  <c r="S70" i="131"/>
  <c r="N76" i="131"/>
  <c r="O77" i="131"/>
  <c r="J77" i="131"/>
  <c r="S77" i="131" s="1"/>
  <c r="S78" i="131"/>
  <c r="N104" i="131"/>
  <c r="O105" i="131"/>
  <c r="J105" i="131"/>
  <c r="S105" i="131" s="1"/>
  <c r="P63" i="131"/>
  <c r="R63" i="131" s="1"/>
  <c r="P67" i="131"/>
  <c r="R67" i="131" s="1"/>
  <c r="P71" i="131"/>
  <c r="R71" i="131" s="1"/>
  <c r="P75" i="131"/>
  <c r="R75" i="131" s="1"/>
  <c r="P79" i="131"/>
  <c r="R79" i="131" s="1"/>
  <c r="P87" i="131"/>
  <c r="R87" i="131" s="1"/>
  <c r="P91" i="131"/>
  <c r="R91" i="131" s="1"/>
  <c r="P95" i="131"/>
  <c r="R95" i="131" s="1"/>
  <c r="P103" i="131"/>
  <c r="R103" i="131" s="1"/>
  <c r="R72" i="131" l="1"/>
  <c r="R81" i="131"/>
  <c r="R84" i="131"/>
  <c r="N107" i="131"/>
  <c r="N108" i="131" s="1"/>
  <c r="R59" i="131"/>
  <c r="Q107" i="131"/>
  <c r="Q108" i="131" s="1"/>
  <c r="R13" i="131"/>
  <c r="J107" i="131"/>
  <c r="S6" i="131"/>
  <c r="S107" i="131" s="1"/>
  <c r="O107" i="131"/>
  <c r="O108" i="131" s="1"/>
  <c r="R92" i="131"/>
  <c r="P107" i="131"/>
  <c r="P108" i="131" s="1"/>
  <c r="R6" i="131"/>
  <c r="S108" i="131" l="1"/>
  <c r="R107" i="131"/>
  <c r="R108" i="131" s="1"/>
  <c r="C9" i="130" l="1"/>
  <c r="C4" i="130"/>
  <c r="C3" i="130"/>
  <c r="H119" i="129" l="1"/>
  <c r="I119" i="129" s="1"/>
  <c r="H117" i="129"/>
  <c r="I117" i="129" s="1"/>
  <c r="H116" i="129"/>
  <c r="I116" i="129" s="1"/>
  <c r="H115" i="129"/>
  <c r="I115" i="129" s="1"/>
  <c r="H114" i="129"/>
  <c r="I114" i="129" s="1"/>
  <c r="H113" i="129"/>
  <c r="I113" i="129" s="1"/>
  <c r="H112" i="129"/>
  <c r="I112" i="129" s="1"/>
  <c r="H111" i="129"/>
  <c r="I111" i="129" s="1"/>
  <c r="H110" i="129"/>
  <c r="I110" i="129" s="1"/>
  <c r="H109" i="129"/>
  <c r="I109" i="129" s="1"/>
  <c r="H108" i="129"/>
  <c r="I108" i="129" s="1"/>
  <c r="H107" i="129"/>
  <c r="I107" i="129" s="1"/>
  <c r="H106" i="129"/>
  <c r="I106" i="129" s="1"/>
  <c r="H105" i="129"/>
  <c r="I105" i="129" s="1"/>
  <c r="H104" i="129"/>
  <c r="I104" i="129" s="1"/>
  <c r="H103" i="129"/>
  <c r="I103" i="129" s="1"/>
  <c r="H102" i="129"/>
  <c r="I102" i="129" s="1"/>
  <c r="H101" i="129"/>
  <c r="I101" i="129" s="1"/>
  <c r="H100" i="129"/>
  <c r="I100" i="129" s="1"/>
  <c r="H99" i="129"/>
  <c r="I99" i="129" s="1"/>
  <c r="H98" i="129"/>
  <c r="I98" i="129" s="1"/>
  <c r="H97" i="129"/>
  <c r="I97" i="129" s="1"/>
  <c r="H96" i="129"/>
  <c r="I96" i="129" s="1"/>
  <c r="H95" i="129"/>
  <c r="I95" i="129" s="1"/>
  <c r="H94" i="129"/>
  <c r="I94" i="129" s="1"/>
  <c r="H92" i="129"/>
  <c r="I92" i="129" s="1"/>
  <c r="H91" i="129"/>
  <c r="I91" i="129" s="1"/>
  <c r="H90" i="129"/>
  <c r="I90" i="129" s="1"/>
  <c r="H89" i="129"/>
  <c r="I89" i="129" s="1"/>
  <c r="H88" i="129"/>
  <c r="I88" i="129" s="1"/>
  <c r="H87" i="129"/>
  <c r="I87" i="129" s="1"/>
  <c r="H86" i="129"/>
  <c r="I86" i="129" s="1"/>
  <c r="H85" i="129"/>
  <c r="I85" i="129" s="1"/>
  <c r="H84" i="129"/>
  <c r="I84" i="129" s="1"/>
  <c r="H83" i="129"/>
  <c r="I83" i="129" s="1"/>
  <c r="H82" i="129"/>
  <c r="I82" i="129" s="1"/>
  <c r="H81" i="129"/>
  <c r="I81" i="129" s="1"/>
  <c r="H80" i="129"/>
  <c r="I80" i="129" s="1"/>
  <c r="H79" i="129"/>
  <c r="I79" i="129" s="1"/>
  <c r="H78" i="129"/>
  <c r="I78" i="129" s="1"/>
  <c r="H77" i="129"/>
  <c r="I77" i="129" s="1"/>
  <c r="H76" i="129"/>
  <c r="I76" i="129" s="1"/>
  <c r="H75" i="129"/>
  <c r="I75" i="129" s="1"/>
  <c r="H74" i="129"/>
  <c r="I74" i="129" s="1"/>
  <c r="H73" i="129"/>
  <c r="I73" i="129" s="1"/>
  <c r="H72" i="129"/>
  <c r="I72" i="129" s="1"/>
  <c r="H71" i="129"/>
  <c r="I71" i="129" s="1"/>
  <c r="H70" i="129"/>
  <c r="I70" i="129" s="1"/>
  <c r="H69" i="129"/>
  <c r="I69" i="129" s="1"/>
  <c r="H68" i="129"/>
  <c r="I68" i="129" s="1"/>
  <c r="H67" i="129"/>
  <c r="I67" i="129" s="1"/>
  <c r="H65" i="129"/>
  <c r="I65" i="129" s="1"/>
  <c r="H64" i="129"/>
  <c r="I64" i="129" s="1"/>
  <c r="H63" i="129"/>
  <c r="I63" i="129" s="1"/>
  <c r="H62" i="129"/>
  <c r="I62" i="129" s="1"/>
  <c r="H61" i="129"/>
  <c r="I61" i="129" s="1"/>
  <c r="H60" i="129"/>
  <c r="I60" i="129" s="1"/>
  <c r="H59" i="129"/>
  <c r="I59" i="129" s="1"/>
  <c r="H58" i="129"/>
  <c r="I58" i="129" s="1"/>
  <c r="H57" i="129"/>
  <c r="I57" i="129" s="1"/>
  <c r="H56" i="129"/>
  <c r="I56" i="129" s="1"/>
  <c r="H54" i="129"/>
  <c r="I54" i="129" s="1"/>
  <c r="H53" i="129"/>
  <c r="I53" i="129" s="1"/>
  <c r="H52" i="129"/>
  <c r="I52" i="129" s="1"/>
  <c r="H51" i="129"/>
  <c r="I51" i="129" s="1"/>
  <c r="H50" i="129"/>
  <c r="I50" i="129" s="1"/>
  <c r="H49" i="129"/>
  <c r="I49" i="129" s="1"/>
  <c r="H48" i="129"/>
  <c r="I48" i="129" s="1"/>
  <c r="H47" i="129"/>
  <c r="I47" i="129" s="1"/>
  <c r="H46" i="129"/>
  <c r="I46" i="129" s="1"/>
  <c r="H44" i="129"/>
  <c r="I44" i="129" s="1"/>
  <c r="H43" i="129"/>
  <c r="I43" i="129" s="1"/>
  <c r="H42" i="129"/>
  <c r="I42" i="129" s="1"/>
  <c r="H41" i="129"/>
  <c r="I41" i="129" s="1"/>
  <c r="H40" i="129"/>
  <c r="I40" i="129" s="1"/>
  <c r="H39" i="129"/>
  <c r="I39" i="129" s="1"/>
  <c r="H38" i="129"/>
  <c r="I38" i="129" s="1"/>
  <c r="H37" i="129"/>
  <c r="I37" i="129" s="1"/>
  <c r="H36" i="129"/>
  <c r="I36" i="129" s="1"/>
  <c r="H35" i="129"/>
  <c r="I35" i="129" s="1"/>
  <c r="H34" i="129"/>
  <c r="I34" i="129" s="1"/>
  <c r="H33" i="129"/>
  <c r="I33" i="129" s="1"/>
  <c r="H31" i="129"/>
  <c r="I31" i="129" s="1"/>
  <c r="H30" i="129"/>
  <c r="I30" i="129" s="1"/>
  <c r="H29" i="129"/>
  <c r="I29" i="129" s="1"/>
  <c r="H28" i="129"/>
  <c r="I28" i="129" s="1"/>
  <c r="H27" i="129"/>
  <c r="I27" i="129" s="1"/>
  <c r="H26" i="129"/>
  <c r="I26" i="129" s="1"/>
  <c r="H25" i="129"/>
  <c r="I25" i="129" s="1"/>
  <c r="H24" i="129"/>
  <c r="I24" i="129" s="1"/>
  <c r="H23" i="129"/>
  <c r="I23" i="129" s="1"/>
  <c r="H22" i="129"/>
  <c r="I22" i="129" s="1"/>
  <c r="H21" i="129"/>
  <c r="I21" i="129" s="1"/>
  <c r="H20" i="129"/>
  <c r="I20" i="129" s="1"/>
  <c r="H19" i="129"/>
  <c r="I19" i="129" s="1"/>
  <c r="H18" i="129"/>
  <c r="I18" i="129" s="1"/>
  <c r="H17" i="129"/>
  <c r="I17" i="129" s="1"/>
  <c r="H16" i="129"/>
  <c r="I16" i="129" s="1"/>
  <c r="H15" i="129"/>
  <c r="I15" i="129" s="1"/>
  <c r="H14" i="129"/>
  <c r="I14" i="129" s="1"/>
  <c r="H13" i="129"/>
  <c r="I13" i="129" s="1"/>
  <c r="H12" i="129"/>
  <c r="I12" i="129" s="1"/>
  <c r="H11" i="129"/>
  <c r="I11" i="129" s="1"/>
  <c r="H9" i="129"/>
  <c r="I9" i="129" s="1"/>
  <c r="H8" i="129"/>
  <c r="I8" i="129" s="1"/>
  <c r="H7" i="129"/>
  <c r="I7" i="129" s="1"/>
  <c r="H6" i="129"/>
  <c r="I6" i="129" s="1"/>
  <c r="H5" i="129"/>
  <c r="I5" i="129" s="1"/>
  <c r="H107" i="128"/>
  <c r="G107" i="128"/>
  <c r="N105" i="128"/>
  <c r="Q105" i="128"/>
  <c r="J105" i="128"/>
  <c r="S105" i="128" s="1"/>
  <c r="O105" i="128"/>
  <c r="Q104" i="128"/>
  <c r="P104" i="128"/>
  <c r="J104" i="128"/>
  <c r="S104" i="128" s="1"/>
  <c r="N104" i="128"/>
  <c r="N103" i="128"/>
  <c r="O102" i="128"/>
  <c r="P102" i="128"/>
  <c r="J102" i="128"/>
  <c r="S102" i="128" s="1"/>
  <c r="N101" i="128"/>
  <c r="Q101" i="128"/>
  <c r="J101" i="128"/>
  <c r="S101" i="128" s="1"/>
  <c r="O101" i="128"/>
  <c r="Q100" i="128"/>
  <c r="P100" i="128"/>
  <c r="O100" i="128"/>
  <c r="J100" i="128"/>
  <c r="N100" i="128"/>
  <c r="N99" i="128"/>
  <c r="Q99" i="128"/>
  <c r="P98" i="128"/>
  <c r="O98" i="128"/>
  <c r="J98" i="128"/>
  <c r="S98" i="128" s="1"/>
  <c r="N97" i="128"/>
  <c r="Q97" i="128"/>
  <c r="J97" i="128"/>
  <c r="S97" i="128" s="1"/>
  <c r="O97" i="128"/>
  <c r="Q96" i="128"/>
  <c r="P96" i="128"/>
  <c r="O96" i="128"/>
  <c r="J96" i="128"/>
  <c r="S96" i="128" s="1"/>
  <c r="N96" i="128"/>
  <c r="P95" i="128"/>
  <c r="N95" i="128"/>
  <c r="Q95" i="128"/>
  <c r="O94" i="128"/>
  <c r="P94" i="128"/>
  <c r="J94" i="128"/>
  <c r="S94" i="128" s="1"/>
  <c r="N94" i="128"/>
  <c r="N93" i="128"/>
  <c r="Q93" i="128"/>
  <c r="J93" i="128"/>
  <c r="S93" i="128" s="1"/>
  <c r="O93" i="128"/>
  <c r="Q92" i="128"/>
  <c r="P92" i="128"/>
  <c r="O92" i="128"/>
  <c r="J92" i="128"/>
  <c r="N92" i="128"/>
  <c r="P91" i="128"/>
  <c r="N91" i="128"/>
  <c r="Q91" i="128"/>
  <c r="O90" i="128"/>
  <c r="P90" i="128"/>
  <c r="J90" i="128"/>
  <c r="S90" i="128" s="1"/>
  <c r="N89" i="128"/>
  <c r="Q88" i="128"/>
  <c r="N88" i="128"/>
  <c r="P88" i="128"/>
  <c r="O88" i="128"/>
  <c r="J88" i="128"/>
  <c r="S88" i="128" s="1"/>
  <c r="P87" i="128"/>
  <c r="N87" i="128"/>
  <c r="Q87" i="128"/>
  <c r="O87" i="128"/>
  <c r="Q86" i="128"/>
  <c r="N86" i="128"/>
  <c r="P86" i="128"/>
  <c r="O86" i="128"/>
  <c r="J86" i="128"/>
  <c r="N85" i="128"/>
  <c r="Q85" i="128"/>
  <c r="O84" i="128"/>
  <c r="Q84" i="128"/>
  <c r="J84" i="128"/>
  <c r="S84" i="128" s="1"/>
  <c r="N83" i="128"/>
  <c r="P83" i="128"/>
  <c r="O83" i="128"/>
  <c r="J83" i="128"/>
  <c r="S83" i="128" s="1"/>
  <c r="Q82" i="128"/>
  <c r="N82" i="128"/>
  <c r="P82" i="128"/>
  <c r="O82" i="128"/>
  <c r="J82" i="128"/>
  <c r="P81" i="128"/>
  <c r="N81" i="128"/>
  <c r="Q81" i="128"/>
  <c r="O80" i="128"/>
  <c r="Q80" i="128"/>
  <c r="J80" i="128"/>
  <c r="S80" i="128" s="1"/>
  <c r="N80" i="128"/>
  <c r="N79" i="128"/>
  <c r="P79" i="128"/>
  <c r="O79" i="128"/>
  <c r="J79" i="128"/>
  <c r="S79" i="128" s="1"/>
  <c r="Q78" i="128"/>
  <c r="N78" i="128"/>
  <c r="P78" i="128"/>
  <c r="O78" i="128"/>
  <c r="J78" i="128"/>
  <c r="N77" i="128"/>
  <c r="Q77" i="128"/>
  <c r="O76" i="128"/>
  <c r="Q76" i="128"/>
  <c r="J76" i="128"/>
  <c r="S76" i="128" s="1"/>
  <c r="N75" i="128"/>
  <c r="P75" i="128"/>
  <c r="O75" i="128"/>
  <c r="J75" i="128"/>
  <c r="S75" i="128" s="1"/>
  <c r="Q74" i="128"/>
  <c r="N74" i="128"/>
  <c r="P74" i="128"/>
  <c r="O74" i="128"/>
  <c r="J74" i="128"/>
  <c r="N73" i="128"/>
  <c r="Q73" i="128"/>
  <c r="O72" i="128"/>
  <c r="Q72" i="128"/>
  <c r="J72" i="128"/>
  <c r="S72" i="128" s="1"/>
  <c r="N72" i="128"/>
  <c r="N71" i="128"/>
  <c r="P71" i="128"/>
  <c r="O71" i="128"/>
  <c r="J71" i="128"/>
  <c r="S71" i="128" s="1"/>
  <c r="Q70" i="128"/>
  <c r="N70" i="128"/>
  <c r="P70" i="128"/>
  <c r="O70" i="128"/>
  <c r="J70" i="128"/>
  <c r="N69" i="128"/>
  <c r="Q69" i="128"/>
  <c r="O68" i="128"/>
  <c r="Q68" i="128"/>
  <c r="J68" i="128"/>
  <c r="S68" i="128" s="1"/>
  <c r="N68" i="128"/>
  <c r="N67" i="128"/>
  <c r="P67" i="128"/>
  <c r="O67" i="128"/>
  <c r="J67" i="128"/>
  <c r="S67" i="128" s="1"/>
  <c r="Q66" i="128"/>
  <c r="N66" i="128"/>
  <c r="P66" i="128"/>
  <c r="O66" i="128"/>
  <c r="J66" i="128"/>
  <c r="N65" i="128"/>
  <c r="Q65" i="128"/>
  <c r="O64" i="128"/>
  <c r="Q64" i="128"/>
  <c r="J64" i="128"/>
  <c r="S64" i="128" s="1"/>
  <c r="N64" i="128"/>
  <c r="N63" i="128"/>
  <c r="P63" i="128"/>
  <c r="O63" i="128"/>
  <c r="J63" i="128"/>
  <c r="S63" i="128" s="1"/>
  <c r="Q62" i="128"/>
  <c r="N62" i="128"/>
  <c r="P62" i="128"/>
  <c r="O62" i="128"/>
  <c r="J62" i="128"/>
  <c r="N61" i="128"/>
  <c r="Q61" i="128"/>
  <c r="O60" i="128"/>
  <c r="Q60" i="128"/>
  <c r="J60" i="128"/>
  <c r="S60" i="128" s="1"/>
  <c r="N60" i="128"/>
  <c r="N59" i="128"/>
  <c r="P59" i="128"/>
  <c r="O59" i="128"/>
  <c r="J59" i="128"/>
  <c r="S59" i="128" s="1"/>
  <c r="Q58" i="128"/>
  <c r="N58" i="128"/>
  <c r="P58" i="128"/>
  <c r="O58" i="128"/>
  <c r="J58" i="128"/>
  <c r="P57" i="128"/>
  <c r="N57" i="128"/>
  <c r="Q57" i="128"/>
  <c r="O56" i="128"/>
  <c r="Q56" i="128"/>
  <c r="J56" i="128"/>
  <c r="S56" i="128" s="1"/>
  <c r="N56" i="128"/>
  <c r="N55" i="128"/>
  <c r="P55" i="128"/>
  <c r="O55" i="128"/>
  <c r="J55" i="128"/>
  <c r="S55" i="128" s="1"/>
  <c r="Q54" i="128"/>
  <c r="N54" i="128"/>
  <c r="P54" i="128"/>
  <c r="O54" i="128"/>
  <c r="J54" i="128"/>
  <c r="S54" i="128" s="1"/>
  <c r="P53" i="128"/>
  <c r="N53" i="128"/>
  <c r="Q53" i="128"/>
  <c r="J53" i="128"/>
  <c r="O53" i="128"/>
  <c r="O52" i="128"/>
  <c r="Q52" i="128"/>
  <c r="J52" i="128"/>
  <c r="S52" i="128" s="1"/>
  <c r="N52" i="128"/>
  <c r="Q51" i="128"/>
  <c r="O51" i="128"/>
  <c r="J51" i="128"/>
  <c r="S51" i="128" s="1"/>
  <c r="N51" i="128"/>
  <c r="Q50" i="128"/>
  <c r="P50" i="128"/>
  <c r="O50" i="128"/>
  <c r="J50" i="128"/>
  <c r="S50" i="128" s="1"/>
  <c r="N50" i="128"/>
  <c r="N49" i="128"/>
  <c r="Q49" i="128"/>
  <c r="J49" i="128"/>
  <c r="S49" i="128" s="1"/>
  <c r="O49" i="128"/>
  <c r="P48" i="128"/>
  <c r="Q48" i="128"/>
  <c r="J48" i="128"/>
  <c r="S48" i="128" s="1"/>
  <c r="N47" i="128"/>
  <c r="Q47" i="128"/>
  <c r="J47" i="128"/>
  <c r="S47" i="128" s="1"/>
  <c r="Q46" i="128"/>
  <c r="N46" i="128"/>
  <c r="P46" i="128"/>
  <c r="O46" i="128"/>
  <c r="J46" i="128"/>
  <c r="S46" i="128" s="1"/>
  <c r="P45" i="128"/>
  <c r="N45" i="128"/>
  <c r="Q45" i="128"/>
  <c r="O45" i="128"/>
  <c r="Q44" i="128"/>
  <c r="O44" i="128"/>
  <c r="N44" i="128"/>
  <c r="Q43" i="128"/>
  <c r="P43" i="128"/>
  <c r="R43" i="128" s="1"/>
  <c r="O43" i="128"/>
  <c r="J43" i="128"/>
  <c r="S43" i="128" s="1"/>
  <c r="N43" i="128"/>
  <c r="N42" i="128"/>
  <c r="P42" i="128"/>
  <c r="J42" i="128"/>
  <c r="S42" i="128" s="1"/>
  <c r="O42" i="128"/>
  <c r="Q41" i="128"/>
  <c r="P41" i="128"/>
  <c r="O41" i="128"/>
  <c r="J41" i="128"/>
  <c r="N41" i="128"/>
  <c r="N40" i="128"/>
  <c r="Q40" i="128"/>
  <c r="J40" i="128"/>
  <c r="S40" i="128" s="1"/>
  <c r="Q39" i="128"/>
  <c r="P39" i="128"/>
  <c r="O39" i="128"/>
  <c r="J39" i="128"/>
  <c r="S39" i="128" s="1"/>
  <c r="N39" i="128"/>
  <c r="N38" i="128"/>
  <c r="P38" i="128"/>
  <c r="J38" i="128"/>
  <c r="S38" i="128" s="1"/>
  <c r="O38" i="128"/>
  <c r="Q37" i="128"/>
  <c r="P37" i="128"/>
  <c r="O37" i="128"/>
  <c r="J37" i="128"/>
  <c r="S37" i="128" s="1"/>
  <c r="N37" i="128"/>
  <c r="P36" i="128"/>
  <c r="N36" i="128"/>
  <c r="Q36" i="128"/>
  <c r="J36" i="128"/>
  <c r="S36" i="128" s="1"/>
  <c r="Q35" i="128"/>
  <c r="P35" i="128"/>
  <c r="O35" i="128"/>
  <c r="J35" i="128"/>
  <c r="S35" i="128" s="1"/>
  <c r="N35" i="128"/>
  <c r="N34" i="128"/>
  <c r="P34" i="128"/>
  <c r="J34" i="128"/>
  <c r="S34" i="128" s="1"/>
  <c r="O34" i="128"/>
  <c r="Q33" i="128"/>
  <c r="P33" i="128"/>
  <c r="O33" i="128"/>
  <c r="J33" i="128"/>
  <c r="S33" i="128" s="1"/>
  <c r="N33" i="128"/>
  <c r="N32" i="128"/>
  <c r="Q32" i="128"/>
  <c r="J32" i="128"/>
  <c r="S32" i="128" s="1"/>
  <c r="Q31" i="128"/>
  <c r="P31" i="128"/>
  <c r="O31" i="128"/>
  <c r="J31" i="128"/>
  <c r="S31" i="128" s="1"/>
  <c r="P30" i="128"/>
  <c r="N30" i="128"/>
  <c r="Q30" i="128"/>
  <c r="J30" i="128"/>
  <c r="S30" i="128" s="1"/>
  <c r="O30" i="128"/>
  <c r="Q29" i="128"/>
  <c r="P29" i="128"/>
  <c r="O29" i="128"/>
  <c r="J29" i="128"/>
  <c r="N29" i="128"/>
  <c r="P28" i="128"/>
  <c r="N28" i="128"/>
  <c r="Q28" i="128"/>
  <c r="Q27" i="128"/>
  <c r="O27" i="128"/>
  <c r="P27" i="128"/>
  <c r="J27" i="128"/>
  <c r="S27" i="128" s="1"/>
  <c r="N26" i="128"/>
  <c r="Q26" i="128"/>
  <c r="J26" i="128"/>
  <c r="S26" i="128" s="1"/>
  <c r="O26" i="128"/>
  <c r="Q25" i="128"/>
  <c r="P25" i="128"/>
  <c r="O25" i="128"/>
  <c r="J25" i="128"/>
  <c r="N25" i="128"/>
  <c r="P24" i="128"/>
  <c r="N24" i="128"/>
  <c r="Q24" i="128"/>
  <c r="Q23" i="128"/>
  <c r="O23" i="128"/>
  <c r="P23" i="128"/>
  <c r="J23" i="128"/>
  <c r="S23" i="128" s="1"/>
  <c r="N23" i="128"/>
  <c r="N22" i="128"/>
  <c r="P22" i="128"/>
  <c r="J22" i="128"/>
  <c r="S22" i="128" s="1"/>
  <c r="O22" i="128"/>
  <c r="Q21" i="128"/>
  <c r="P21" i="128"/>
  <c r="O21" i="128"/>
  <c r="J21" i="128"/>
  <c r="S21" i="128" s="1"/>
  <c r="N21" i="128"/>
  <c r="P20" i="128"/>
  <c r="N20" i="128"/>
  <c r="Q20" i="128"/>
  <c r="O19" i="128"/>
  <c r="Q19" i="128"/>
  <c r="J19" i="128"/>
  <c r="S19" i="128" s="1"/>
  <c r="N18" i="128"/>
  <c r="P18" i="128"/>
  <c r="J18" i="128"/>
  <c r="S18" i="128" s="1"/>
  <c r="O18" i="128"/>
  <c r="Q17" i="128"/>
  <c r="N17" i="128"/>
  <c r="P17" i="128"/>
  <c r="O17" i="128"/>
  <c r="J17" i="128"/>
  <c r="S17" i="128" s="1"/>
  <c r="P16" i="128"/>
  <c r="N16" i="128"/>
  <c r="Q16" i="128"/>
  <c r="P15" i="128"/>
  <c r="O15" i="128"/>
  <c r="J15" i="128"/>
  <c r="S15" i="128" s="1"/>
  <c r="N14" i="128"/>
  <c r="P14" i="128"/>
  <c r="O14" i="128"/>
  <c r="J14" i="128"/>
  <c r="S14" i="128" s="1"/>
  <c r="Q13" i="128"/>
  <c r="N13" i="128"/>
  <c r="P13" i="128"/>
  <c r="O13" i="128"/>
  <c r="J13" i="128"/>
  <c r="P12" i="128"/>
  <c r="N12" i="128"/>
  <c r="Q12" i="128"/>
  <c r="O11" i="128"/>
  <c r="P11" i="128"/>
  <c r="J11" i="128"/>
  <c r="S11" i="128" s="1"/>
  <c r="N10" i="128"/>
  <c r="P10" i="128"/>
  <c r="O10" i="128"/>
  <c r="J10" i="128"/>
  <c r="S10" i="128" s="1"/>
  <c r="Q9" i="128"/>
  <c r="N9" i="128"/>
  <c r="P9" i="128"/>
  <c r="O9" i="128"/>
  <c r="J9" i="128"/>
  <c r="S9" i="128" s="1"/>
  <c r="P8" i="128"/>
  <c r="N8" i="128"/>
  <c r="Q8" i="128"/>
  <c r="P7" i="128"/>
  <c r="O7" i="128"/>
  <c r="J7" i="128"/>
  <c r="S7" i="128" s="1"/>
  <c r="N6" i="128"/>
  <c r="P6" i="128"/>
  <c r="O6" i="128"/>
  <c r="J6" i="128"/>
  <c r="R35" i="128" l="1"/>
  <c r="R21" i="128"/>
  <c r="R20" i="128"/>
  <c r="R104" i="128"/>
  <c r="R28" i="128"/>
  <c r="R30" i="128"/>
  <c r="R50" i="128"/>
  <c r="R37" i="128"/>
  <c r="R81" i="128"/>
  <c r="R91" i="128"/>
  <c r="R33" i="128"/>
  <c r="R12" i="128"/>
  <c r="R39" i="128"/>
  <c r="R41" i="128"/>
  <c r="R46" i="128"/>
  <c r="R24" i="128"/>
  <c r="R45" i="128"/>
  <c r="R88" i="128"/>
  <c r="R8" i="128"/>
  <c r="R16" i="128"/>
  <c r="S25" i="128"/>
  <c r="S29" i="128"/>
  <c r="R54" i="128"/>
  <c r="S92" i="128"/>
  <c r="S100" i="128"/>
  <c r="R23" i="128"/>
  <c r="R27" i="128"/>
  <c r="S41" i="128"/>
  <c r="R53" i="128"/>
  <c r="R87" i="128"/>
  <c r="R95" i="128"/>
  <c r="R96" i="128"/>
  <c r="R13" i="128"/>
  <c r="R29" i="128"/>
  <c r="R31" i="128"/>
  <c r="R92" i="128"/>
  <c r="J8" i="128"/>
  <c r="S8" i="128" s="1"/>
  <c r="O8" i="128"/>
  <c r="O16" i="128"/>
  <c r="J16" i="128"/>
  <c r="S16" i="128" s="1"/>
  <c r="O24" i="128"/>
  <c r="J24" i="128"/>
  <c r="S24" i="128" s="1"/>
  <c r="S6" i="128"/>
  <c r="R9" i="128"/>
  <c r="J12" i="128"/>
  <c r="S12" i="128" s="1"/>
  <c r="O12" i="128"/>
  <c r="S13" i="128"/>
  <c r="N11" i="128"/>
  <c r="N19" i="128"/>
  <c r="R36" i="128"/>
  <c r="N7" i="128"/>
  <c r="N31" i="128"/>
  <c r="D107" i="128"/>
  <c r="N15" i="128"/>
  <c r="R17" i="128"/>
  <c r="O20" i="128"/>
  <c r="J20" i="128"/>
  <c r="S20" i="128" s="1"/>
  <c r="R25" i="128"/>
  <c r="N27" i="128"/>
  <c r="O28" i="128"/>
  <c r="J28" i="128"/>
  <c r="S28" i="128" s="1"/>
  <c r="P40" i="128"/>
  <c r="R40" i="128" s="1"/>
  <c r="P47" i="128"/>
  <c r="R47" i="128" s="1"/>
  <c r="E107" i="128"/>
  <c r="F107" i="128"/>
  <c r="Q7" i="128"/>
  <c r="R7" i="128" s="1"/>
  <c r="Q11" i="128"/>
  <c r="R11" i="128" s="1"/>
  <c r="Q15" i="128"/>
  <c r="R15" i="128" s="1"/>
  <c r="P26" i="128"/>
  <c r="R26" i="128" s="1"/>
  <c r="I107" i="128"/>
  <c r="Q6" i="128"/>
  <c r="Q10" i="128"/>
  <c r="R10" i="128" s="1"/>
  <c r="Q14" i="128"/>
  <c r="R14" i="128" s="1"/>
  <c r="Q18" i="128"/>
  <c r="R18" i="128" s="1"/>
  <c r="Q22" i="128"/>
  <c r="R22" i="128" s="1"/>
  <c r="O32" i="128"/>
  <c r="Q34" i="128"/>
  <c r="R34" i="128" s="1"/>
  <c r="O36" i="128"/>
  <c r="Q38" i="128"/>
  <c r="R38" i="128" s="1"/>
  <c r="O40" i="128"/>
  <c r="Q42" i="128"/>
  <c r="R42" i="128" s="1"/>
  <c r="P44" i="128"/>
  <c r="R44" i="128" s="1"/>
  <c r="J45" i="128"/>
  <c r="S45" i="128" s="1"/>
  <c r="O47" i="128"/>
  <c r="O48" i="128"/>
  <c r="S58" i="128"/>
  <c r="P61" i="128"/>
  <c r="R61" i="128" s="1"/>
  <c r="R62" i="128"/>
  <c r="J65" i="128"/>
  <c r="S65" i="128" s="1"/>
  <c r="O65" i="128"/>
  <c r="S66" i="128"/>
  <c r="P69" i="128"/>
  <c r="R69" i="128" s="1"/>
  <c r="R70" i="128"/>
  <c r="J73" i="128"/>
  <c r="S73" i="128" s="1"/>
  <c r="O73" i="128"/>
  <c r="S74" i="128"/>
  <c r="P77" i="128"/>
  <c r="R77" i="128" s="1"/>
  <c r="R78" i="128"/>
  <c r="J81" i="128"/>
  <c r="S81" i="128" s="1"/>
  <c r="O81" i="128"/>
  <c r="S82" i="128"/>
  <c r="P85" i="128"/>
  <c r="R85" i="128" s="1"/>
  <c r="R86" i="128"/>
  <c r="Q89" i="128"/>
  <c r="P89" i="128"/>
  <c r="Q103" i="128"/>
  <c r="P103" i="128"/>
  <c r="P32" i="128"/>
  <c r="R32" i="128" s="1"/>
  <c r="P19" i="128"/>
  <c r="R19" i="128" s="1"/>
  <c r="N48" i="128"/>
  <c r="P49" i="128"/>
  <c r="R49" i="128" s="1"/>
  <c r="P51" i="128"/>
  <c r="R51" i="128" s="1"/>
  <c r="P52" i="128"/>
  <c r="R52" i="128" s="1"/>
  <c r="S53" i="128"/>
  <c r="P56" i="128"/>
  <c r="R56" i="128" s="1"/>
  <c r="R58" i="128"/>
  <c r="J61" i="128"/>
  <c r="S61" i="128" s="1"/>
  <c r="O61" i="128"/>
  <c r="S62" i="128"/>
  <c r="P65" i="128"/>
  <c r="R65" i="128" s="1"/>
  <c r="R66" i="128"/>
  <c r="J69" i="128"/>
  <c r="S69" i="128" s="1"/>
  <c r="O69" i="128"/>
  <c r="S70" i="128"/>
  <c r="P73" i="128"/>
  <c r="R73" i="128" s="1"/>
  <c r="R74" i="128"/>
  <c r="J77" i="128"/>
  <c r="S77" i="128" s="1"/>
  <c r="O77" i="128"/>
  <c r="S78" i="128"/>
  <c r="R82" i="128"/>
  <c r="J85" i="128"/>
  <c r="S85" i="128" s="1"/>
  <c r="O85" i="128"/>
  <c r="S86" i="128"/>
  <c r="O99" i="128"/>
  <c r="J99" i="128"/>
  <c r="S99" i="128" s="1"/>
  <c r="R48" i="128"/>
  <c r="R57" i="128"/>
  <c r="O89" i="128"/>
  <c r="J89" i="128"/>
  <c r="S89" i="128" s="1"/>
  <c r="J44" i="128"/>
  <c r="S44" i="128" s="1"/>
  <c r="J57" i="128"/>
  <c r="S57" i="128" s="1"/>
  <c r="O57" i="128"/>
  <c r="N76" i="128"/>
  <c r="N84" i="128"/>
  <c r="Q55" i="128"/>
  <c r="R55" i="128" s="1"/>
  <c r="Q59" i="128"/>
  <c r="R59" i="128" s="1"/>
  <c r="Q63" i="128"/>
  <c r="R63" i="128" s="1"/>
  <c r="Q67" i="128"/>
  <c r="R67" i="128" s="1"/>
  <c r="Q71" i="128"/>
  <c r="R71" i="128" s="1"/>
  <c r="Q75" i="128"/>
  <c r="R75" i="128" s="1"/>
  <c r="Q79" i="128"/>
  <c r="R79" i="128" s="1"/>
  <c r="Q83" i="128"/>
  <c r="R83" i="128" s="1"/>
  <c r="J87" i="128"/>
  <c r="S87" i="128" s="1"/>
  <c r="N90" i="128"/>
  <c r="O95" i="128"/>
  <c r="J95" i="128"/>
  <c r="S95" i="128" s="1"/>
  <c r="P60" i="128"/>
  <c r="R60" i="128" s="1"/>
  <c r="P64" i="128"/>
  <c r="R64" i="128" s="1"/>
  <c r="P68" i="128"/>
  <c r="R68" i="128" s="1"/>
  <c r="P72" i="128"/>
  <c r="R72" i="128" s="1"/>
  <c r="P76" i="128"/>
  <c r="R76" i="128" s="1"/>
  <c r="P80" i="128"/>
  <c r="R80" i="128" s="1"/>
  <c r="P84" i="128"/>
  <c r="R84" i="128" s="1"/>
  <c r="N98" i="128"/>
  <c r="O103" i="128"/>
  <c r="J103" i="128"/>
  <c r="S103" i="128" s="1"/>
  <c r="I121" i="129"/>
  <c r="O91" i="128"/>
  <c r="J91" i="128"/>
  <c r="S91" i="128" s="1"/>
  <c r="P99" i="128"/>
  <c r="R99" i="128" s="1"/>
  <c r="R100" i="128"/>
  <c r="N102" i="128"/>
  <c r="H121" i="129"/>
  <c r="Q90" i="128"/>
  <c r="R90" i="128" s="1"/>
  <c r="P93" i="128"/>
  <c r="R93" i="128" s="1"/>
  <c r="Q94" i="128"/>
  <c r="R94" i="128" s="1"/>
  <c r="P97" i="128"/>
  <c r="R97" i="128" s="1"/>
  <c r="Q98" i="128"/>
  <c r="R98" i="128" s="1"/>
  <c r="P101" i="128"/>
  <c r="R101" i="128" s="1"/>
  <c r="Q102" i="128"/>
  <c r="R102" i="128" s="1"/>
  <c r="O104" i="128"/>
  <c r="P105" i="128"/>
  <c r="R105" i="128" s="1"/>
  <c r="R103" i="128" l="1"/>
  <c r="R89" i="128"/>
  <c r="N107" i="128"/>
  <c r="N108" i="128" s="1"/>
  <c r="O107" i="128"/>
  <c r="O108" i="128" s="1"/>
  <c r="Q107" i="128"/>
  <c r="Q108" i="128" s="1"/>
  <c r="R6" i="128"/>
  <c r="J107" i="128"/>
  <c r="S107" i="128"/>
  <c r="S108" i="128" s="1"/>
  <c r="P107" i="128"/>
  <c r="P108" i="128" s="1"/>
  <c r="R107" i="128" l="1"/>
  <c r="R108" i="128" s="1"/>
  <c r="H107" i="126" l="1"/>
  <c r="G107" i="126"/>
  <c r="Q105" i="126"/>
  <c r="N105" i="126"/>
  <c r="J104" i="126"/>
  <c r="S104" i="126" s="1"/>
  <c r="N104" i="126"/>
  <c r="P102" i="126"/>
  <c r="N102" i="126"/>
  <c r="N101" i="126"/>
  <c r="P101" i="126"/>
  <c r="J101" i="126"/>
  <c r="S101" i="126" s="1"/>
  <c r="J100" i="126"/>
  <c r="S100" i="126" s="1"/>
  <c r="N100" i="126"/>
  <c r="N99" i="126"/>
  <c r="P98" i="126"/>
  <c r="J98" i="126"/>
  <c r="S98" i="126" s="1"/>
  <c r="N98" i="126"/>
  <c r="N97" i="126"/>
  <c r="P97" i="126"/>
  <c r="J97" i="126"/>
  <c r="S97" i="126" s="1"/>
  <c r="J96" i="126"/>
  <c r="S96" i="126" s="1"/>
  <c r="N96" i="126"/>
  <c r="P94" i="126"/>
  <c r="N94" i="126"/>
  <c r="N93" i="126"/>
  <c r="P93" i="126"/>
  <c r="J93" i="126"/>
  <c r="S93" i="126" s="1"/>
  <c r="N92" i="126"/>
  <c r="Q91" i="126"/>
  <c r="J91" i="126"/>
  <c r="S91" i="126" s="1"/>
  <c r="N91" i="126"/>
  <c r="P90" i="126"/>
  <c r="J90" i="126"/>
  <c r="S90" i="126" s="1"/>
  <c r="N90" i="126"/>
  <c r="Q89" i="126"/>
  <c r="P89" i="126"/>
  <c r="O89" i="126"/>
  <c r="J89" i="126"/>
  <c r="N89" i="126"/>
  <c r="N88" i="126"/>
  <c r="P87" i="126"/>
  <c r="Q87" i="126"/>
  <c r="N86" i="126"/>
  <c r="Q86" i="126"/>
  <c r="J86" i="126"/>
  <c r="S86" i="126" s="1"/>
  <c r="N85" i="126"/>
  <c r="J85" i="126"/>
  <c r="S85" i="126" s="1"/>
  <c r="N84" i="126"/>
  <c r="P84" i="126"/>
  <c r="P83" i="126"/>
  <c r="Q83" i="126"/>
  <c r="P82" i="126"/>
  <c r="N82" i="126"/>
  <c r="Q81" i="126"/>
  <c r="P81" i="126"/>
  <c r="O81" i="126"/>
  <c r="J81" i="126"/>
  <c r="N81" i="126"/>
  <c r="P80" i="126"/>
  <c r="Q80" i="126"/>
  <c r="O79" i="126"/>
  <c r="J79" i="126"/>
  <c r="S79" i="126" s="1"/>
  <c r="N79" i="126"/>
  <c r="N78" i="126"/>
  <c r="P78" i="126"/>
  <c r="J78" i="126"/>
  <c r="S78" i="126" s="1"/>
  <c r="N77" i="126"/>
  <c r="J77" i="126"/>
  <c r="S77" i="126" s="1"/>
  <c r="N76" i="126"/>
  <c r="Q75" i="126"/>
  <c r="P74" i="126"/>
  <c r="O74" i="126"/>
  <c r="J74" i="126"/>
  <c r="S74" i="126" s="1"/>
  <c r="N74" i="126"/>
  <c r="Q73" i="126"/>
  <c r="P73" i="126"/>
  <c r="O73" i="126"/>
  <c r="J73" i="126"/>
  <c r="P72" i="126"/>
  <c r="Q72" i="126"/>
  <c r="N72" i="126"/>
  <c r="O71" i="126"/>
  <c r="J71" i="126"/>
  <c r="S71" i="126" s="1"/>
  <c r="N71" i="126"/>
  <c r="N70" i="126"/>
  <c r="P70" i="126"/>
  <c r="J70" i="126"/>
  <c r="S70" i="126" s="1"/>
  <c r="N69" i="126"/>
  <c r="J69" i="126"/>
  <c r="S69" i="126" s="1"/>
  <c r="N68" i="126"/>
  <c r="Q67" i="126"/>
  <c r="P66" i="126"/>
  <c r="Q66" i="126"/>
  <c r="N66" i="126"/>
  <c r="Q65" i="126"/>
  <c r="P65" i="126"/>
  <c r="O65" i="126"/>
  <c r="J65" i="126"/>
  <c r="N65" i="126"/>
  <c r="P64" i="126"/>
  <c r="Q64" i="126"/>
  <c r="O63" i="126"/>
  <c r="P63" i="126"/>
  <c r="J63" i="126"/>
  <c r="S63" i="126" s="1"/>
  <c r="N63" i="126"/>
  <c r="O62" i="126"/>
  <c r="Q62" i="126"/>
  <c r="J62" i="126"/>
  <c r="S62" i="126" s="1"/>
  <c r="N62" i="126"/>
  <c r="Q61" i="126"/>
  <c r="P61" i="126"/>
  <c r="O61" i="126"/>
  <c r="J61" i="126"/>
  <c r="N61" i="126"/>
  <c r="P60" i="126"/>
  <c r="N60" i="126"/>
  <c r="Q59" i="126"/>
  <c r="N58" i="126"/>
  <c r="Q58" i="126"/>
  <c r="O58" i="126"/>
  <c r="N57" i="126"/>
  <c r="J57" i="126"/>
  <c r="S57" i="126" s="1"/>
  <c r="N56" i="126"/>
  <c r="J56" i="126"/>
  <c r="O56" i="126"/>
  <c r="O55" i="126"/>
  <c r="J55" i="126"/>
  <c r="S55" i="126" s="1"/>
  <c r="N55" i="126"/>
  <c r="Q54" i="126"/>
  <c r="J54" i="126"/>
  <c r="Q53" i="126"/>
  <c r="P53" i="126"/>
  <c r="O53" i="126"/>
  <c r="J53" i="126"/>
  <c r="N53" i="126"/>
  <c r="Q52" i="126"/>
  <c r="P52" i="126"/>
  <c r="N52" i="126"/>
  <c r="P51" i="126"/>
  <c r="Q51" i="126"/>
  <c r="P50" i="126"/>
  <c r="Q50" i="126"/>
  <c r="N50" i="126"/>
  <c r="Q49" i="126"/>
  <c r="P49" i="126"/>
  <c r="O49" i="126"/>
  <c r="J49" i="126"/>
  <c r="S49" i="126" s="1"/>
  <c r="N49" i="126"/>
  <c r="P48" i="126"/>
  <c r="Q48" i="126"/>
  <c r="J48" i="126"/>
  <c r="N48" i="126"/>
  <c r="Q47" i="126"/>
  <c r="J47" i="126"/>
  <c r="N47" i="126"/>
  <c r="O46" i="126"/>
  <c r="J46" i="126"/>
  <c r="S46" i="126" s="1"/>
  <c r="N46" i="126"/>
  <c r="P45" i="126"/>
  <c r="Q45" i="126"/>
  <c r="J45" i="126"/>
  <c r="N45" i="126"/>
  <c r="Q44" i="126"/>
  <c r="P44" i="126"/>
  <c r="J44" i="126"/>
  <c r="N44" i="126"/>
  <c r="N43" i="126"/>
  <c r="J43" i="126"/>
  <c r="S43" i="126" s="1"/>
  <c r="O43" i="126"/>
  <c r="Q42" i="126"/>
  <c r="P42" i="126"/>
  <c r="O42" i="126"/>
  <c r="J42" i="126"/>
  <c r="S42" i="126" s="1"/>
  <c r="Q41" i="126"/>
  <c r="N41" i="126"/>
  <c r="Q40" i="126"/>
  <c r="P40" i="126"/>
  <c r="N40" i="126"/>
  <c r="N39" i="126"/>
  <c r="Q39" i="126"/>
  <c r="O39" i="126"/>
  <c r="O38" i="126"/>
  <c r="J38" i="126"/>
  <c r="S38" i="126" s="1"/>
  <c r="N38" i="126"/>
  <c r="P37" i="126"/>
  <c r="Q37" i="126"/>
  <c r="P36" i="126"/>
  <c r="O36" i="126"/>
  <c r="J36" i="126"/>
  <c r="S36" i="126" s="1"/>
  <c r="Q35" i="126"/>
  <c r="O34" i="126"/>
  <c r="J34" i="126"/>
  <c r="S34" i="126" s="1"/>
  <c r="N34" i="126"/>
  <c r="P33" i="126"/>
  <c r="Q33" i="126"/>
  <c r="N33" i="126"/>
  <c r="Q32" i="126"/>
  <c r="P32" i="126"/>
  <c r="J32" i="126"/>
  <c r="N32" i="126"/>
  <c r="N31" i="126"/>
  <c r="O31" i="126"/>
  <c r="P30" i="126"/>
  <c r="O30" i="126"/>
  <c r="J30" i="126"/>
  <c r="S30" i="126" s="1"/>
  <c r="Q29" i="126"/>
  <c r="N29" i="126"/>
  <c r="Q28" i="126"/>
  <c r="P28" i="126"/>
  <c r="O28" i="126"/>
  <c r="J28" i="126"/>
  <c r="S28" i="126" s="1"/>
  <c r="N28" i="126"/>
  <c r="Q27" i="126"/>
  <c r="N27" i="126"/>
  <c r="O26" i="126"/>
  <c r="J26" i="126"/>
  <c r="S26" i="126" s="1"/>
  <c r="N26" i="126"/>
  <c r="Q25" i="126"/>
  <c r="O25" i="126"/>
  <c r="N25" i="126"/>
  <c r="P24" i="126"/>
  <c r="O24" i="126"/>
  <c r="J24" i="126"/>
  <c r="S24" i="126" s="1"/>
  <c r="Q23" i="126"/>
  <c r="O23" i="126"/>
  <c r="N23" i="126"/>
  <c r="P22" i="126"/>
  <c r="J22" i="126"/>
  <c r="S22" i="126" s="1"/>
  <c r="N22" i="126"/>
  <c r="N21" i="126"/>
  <c r="Q21" i="126"/>
  <c r="O21" i="126"/>
  <c r="Q20" i="126"/>
  <c r="S20" i="126"/>
  <c r="P20" i="126"/>
  <c r="O20" i="126"/>
  <c r="J20" i="126"/>
  <c r="N20" i="126"/>
  <c r="N19" i="126"/>
  <c r="Q19" i="126"/>
  <c r="Q18" i="126"/>
  <c r="P18" i="126"/>
  <c r="O18" i="126"/>
  <c r="J18" i="126"/>
  <c r="S18" i="126" s="1"/>
  <c r="N18" i="126"/>
  <c r="N17" i="126"/>
  <c r="Q17" i="126"/>
  <c r="J17" i="126"/>
  <c r="S17" i="126" s="1"/>
  <c r="O17" i="126"/>
  <c r="P16" i="126"/>
  <c r="O16" i="126"/>
  <c r="J16" i="126"/>
  <c r="N15" i="126"/>
  <c r="Q15" i="126"/>
  <c r="O15" i="126"/>
  <c r="Q14" i="126"/>
  <c r="P14" i="126"/>
  <c r="J14" i="126"/>
  <c r="S14" i="126" s="1"/>
  <c r="N14" i="126"/>
  <c r="N13" i="126"/>
  <c r="Q13" i="126"/>
  <c r="J13" i="126"/>
  <c r="S13" i="126" s="1"/>
  <c r="O13" i="126"/>
  <c r="Q12" i="126"/>
  <c r="P12" i="126"/>
  <c r="O12" i="126"/>
  <c r="J12" i="126"/>
  <c r="N12" i="126"/>
  <c r="Q11" i="126"/>
  <c r="N11" i="126"/>
  <c r="P10" i="126"/>
  <c r="O10" i="126"/>
  <c r="J10" i="126"/>
  <c r="S10" i="126" s="1"/>
  <c r="N10" i="126"/>
  <c r="N9" i="126"/>
  <c r="Q9" i="126"/>
  <c r="O9" i="126"/>
  <c r="P8" i="126"/>
  <c r="O8" i="126"/>
  <c r="J8" i="126"/>
  <c r="Q7" i="126"/>
  <c r="O7" i="126"/>
  <c r="N7" i="126"/>
  <c r="P6" i="126"/>
  <c r="R64" i="126" l="1"/>
  <c r="R66" i="126"/>
  <c r="R33" i="126"/>
  <c r="R45" i="126"/>
  <c r="R61" i="126"/>
  <c r="R37" i="126"/>
  <c r="R48" i="126"/>
  <c r="R50" i="126"/>
  <c r="R83" i="126"/>
  <c r="S12" i="126"/>
  <c r="S16" i="126"/>
  <c r="P46" i="126"/>
  <c r="Q46" i="126"/>
  <c r="S8" i="126"/>
  <c r="P25" i="126"/>
  <c r="R25" i="126" s="1"/>
  <c r="P34" i="126"/>
  <c r="Q34" i="126"/>
  <c r="O37" i="126"/>
  <c r="Q43" i="126"/>
  <c r="P43" i="126"/>
  <c r="O54" i="126"/>
  <c r="P55" i="126"/>
  <c r="Q55" i="126"/>
  <c r="P67" i="126"/>
  <c r="R67" i="126" s="1"/>
  <c r="P75" i="126"/>
  <c r="R75" i="126" s="1"/>
  <c r="P85" i="126"/>
  <c r="Q85" i="126"/>
  <c r="Q6" i="126"/>
  <c r="R6" i="126" s="1"/>
  <c r="J9" i="126"/>
  <c r="S9" i="126" s="1"/>
  <c r="Q10" i="126"/>
  <c r="R10" i="126" s="1"/>
  <c r="R14" i="126"/>
  <c r="N16" i="126"/>
  <c r="R18" i="126"/>
  <c r="J21" i="126"/>
  <c r="S21" i="126" s="1"/>
  <c r="Q22" i="126"/>
  <c r="R22" i="126" s="1"/>
  <c r="O29" i="126"/>
  <c r="J31" i="126"/>
  <c r="S31" i="126" s="1"/>
  <c r="N35" i="126"/>
  <c r="O40" i="126"/>
  <c r="O41" i="126"/>
  <c r="O50" i="126"/>
  <c r="R53" i="126"/>
  <c r="Q56" i="126"/>
  <c r="P56" i="126"/>
  <c r="J58" i="126"/>
  <c r="S58" i="126" s="1"/>
  <c r="P59" i="126"/>
  <c r="R59" i="126" s="1"/>
  <c r="N64" i="126"/>
  <c r="N73" i="126"/>
  <c r="O82" i="126"/>
  <c r="P92" i="126"/>
  <c r="Q92" i="126"/>
  <c r="P100" i="126"/>
  <c r="Q100" i="126"/>
  <c r="P26" i="126"/>
  <c r="Q26" i="126"/>
  <c r="S54" i="126"/>
  <c r="P57" i="126"/>
  <c r="Q57" i="126"/>
  <c r="P68" i="126"/>
  <c r="Q68" i="126"/>
  <c r="P76" i="126"/>
  <c r="Q76" i="126"/>
  <c r="O94" i="126"/>
  <c r="J94" i="126"/>
  <c r="S94" i="126" s="1"/>
  <c r="Q99" i="126"/>
  <c r="P99" i="126"/>
  <c r="O102" i="126"/>
  <c r="J102" i="126"/>
  <c r="S102" i="126" s="1"/>
  <c r="E107" i="126"/>
  <c r="N8" i="126"/>
  <c r="N24" i="126"/>
  <c r="Q31" i="126"/>
  <c r="P31" i="126"/>
  <c r="N37" i="126"/>
  <c r="P38" i="126"/>
  <c r="Q38" i="126"/>
  <c r="P69" i="126"/>
  <c r="Q69" i="126"/>
  <c r="P77" i="126"/>
  <c r="Q77" i="126"/>
  <c r="N80" i="126"/>
  <c r="P96" i="126"/>
  <c r="Q96" i="126"/>
  <c r="P104" i="126"/>
  <c r="Q104" i="126"/>
  <c r="F107" i="126"/>
  <c r="S32" i="126"/>
  <c r="O33" i="126"/>
  <c r="O35" i="126"/>
  <c r="R40" i="126"/>
  <c r="O44" i="126"/>
  <c r="S45" i="126"/>
  <c r="S47" i="126"/>
  <c r="O52" i="126"/>
  <c r="S53" i="126"/>
  <c r="O64" i="126"/>
  <c r="S65" i="126"/>
  <c r="O66" i="126"/>
  <c r="O70" i="126"/>
  <c r="O77" i="126"/>
  <c r="Q84" i="126"/>
  <c r="R84" i="126" s="1"/>
  <c r="O86" i="126"/>
  <c r="O93" i="126"/>
  <c r="Q93" i="126"/>
  <c r="N95" i="126"/>
  <c r="O97" i="126"/>
  <c r="Q97" i="126"/>
  <c r="R97" i="126" s="1"/>
  <c r="O101" i="126"/>
  <c r="Q101" i="126"/>
  <c r="R101" i="126" s="1"/>
  <c r="N103" i="126"/>
  <c r="O105" i="126"/>
  <c r="R93" i="126"/>
  <c r="O6" i="126"/>
  <c r="Q8" i="126"/>
  <c r="R8" i="126" s="1"/>
  <c r="O11" i="126"/>
  <c r="R12" i="126"/>
  <c r="O14" i="126"/>
  <c r="Q16" i="126"/>
  <c r="R16" i="126" s="1"/>
  <c r="O19" i="126"/>
  <c r="R20" i="126"/>
  <c r="O22" i="126"/>
  <c r="O27" i="126"/>
  <c r="R28" i="126"/>
  <c r="Q30" i="126"/>
  <c r="R30" i="126" s="1"/>
  <c r="O32" i="126"/>
  <c r="J33" i="126"/>
  <c r="S33" i="126" s="1"/>
  <c r="J35" i="126"/>
  <c r="S35" i="126" s="1"/>
  <c r="Q36" i="126"/>
  <c r="J40" i="126"/>
  <c r="S40" i="126" s="1"/>
  <c r="S44" i="126"/>
  <c r="O45" i="126"/>
  <c r="O47" i="126"/>
  <c r="J52" i="126"/>
  <c r="S52" i="126" s="1"/>
  <c r="O57" i="126"/>
  <c r="O60" i="126"/>
  <c r="J64" i="126"/>
  <c r="S64" i="126" s="1"/>
  <c r="J66" i="126"/>
  <c r="S66" i="126" s="1"/>
  <c r="O69" i="126"/>
  <c r="O78" i="126"/>
  <c r="J82" i="126"/>
  <c r="S82" i="126" s="1"/>
  <c r="O85" i="126"/>
  <c r="R89" i="126"/>
  <c r="O90" i="126"/>
  <c r="O98" i="126"/>
  <c r="J105" i="126"/>
  <c r="S105" i="126" s="1"/>
  <c r="P15" i="126"/>
  <c r="R15" i="126" s="1"/>
  <c r="P19" i="126"/>
  <c r="R19" i="126" s="1"/>
  <c r="Q71" i="126"/>
  <c r="P71" i="126"/>
  <c r="Q79" i="126"/>
  <c r="P79" i="126"/>
  <c r="I107" i="126"/>
  <c r="J7" i="126"/>
  <c r="S7" i="126" s="1"/>
  <c r="P9" i="126"/>
  <c r="R9" i="126" s="1"/>
  <c r="J11" i="126"/>
  <c r="S11" i="126" s="1"/>
  <c r="P13" i="126"/>
  <c r="R13" i="126" s="1"/>
  <c r="J15" i="126"/>
  <c r="S15" i="126" s="1"/>
  <c r="P17" i="126"/>
  <c r="R17" i="126" s="1"/>
  <c r="J19" i="126"/>
  <c r="S19" i="126" s="1"/>
  <c r="P21" i="126"/>
  <c r="R21" i="126" s="1"/>
  <c r="J23" i="126"/>
  <c r="S23" i="126" s="1"/>
  <c r="J27" i="126"/>
  <c r="S27" i="126" s="1"/>
  <c r="J29" i="126"/>
  <c r="S29" i="126" s="1"/>
  <c r="J39" i="126"/>
  <c r="S39" i="126" s="1"/>
  <c r="J41" i="126"/>
  <c r="S41" i="126" s="1"/>
  <c r="R51" i="126"/>
  <c r="J59" i="126"/>
  <c r="S59" i="126" s="1"/>
  <c r="O59" i="126"/>
  <c r="J60" i="126"/>
  <c r="S60" i="126" s="1"/>
  <c r="P91" i="126"/>
  <c r="R91" i="126" s="1"/>
  <c r="Q95" i="126"/>
  <c r="P95" i="126"/>
  <c r="D107" i="126"/>
  <c r="J6" i="126"/>
  <c r="N6" i="126"/>
  <c r="Q24" i="126"/>
  <c r="R24" i="126" s="1"/>
  <c r="J25" i="126"/>
  <c r="S25" i="126" s="1"/>
  <c r="P27" i="126"/>
  <c r="R27" i="126" s="1"/>
  <c r="P29" i="126"/>
  <c r="R29" i="126" s="1"/>
  <c r="N30" i="126"/>
  <c r="R32" i="126"/>
  <c r="J37" i="126"/>
  <c r="S37" i="126" s="1"/>
  <c r="P39" i="126"/>
  <c r="R39" i="126" s="1"/>
  <c r="P41" i="126"/>
  <c r="R41" i="126" s="1"/>
  <c r="N42" i="126"/>
  <c r="R42" i="126"/>
  <c r="R44" i="126"/>
  <c r="J50" i="126"/>
  <c r="S50" i="126" s="1"/>
  <c r="R52" i="126"/>
  <c r="Q60" i="126"/>
  <c r="R60" i="126" s="1"/>
  <c r="Q63" i="126"/>
  <c r="R63" i="126" s="1"/>
  <c r="R65" i="126"/>
  <c r="J67" i="126"/>
  <c r="S67" i="126" s="1"/>
  <c r="O67" i="126"/>
  <c r="J72" i="126"/>
  <c r="S72" i="126" s="1"/>
  <c r="O72" i="126"/>
  <c r="J75" i="126"/>
  <c r="S75" i="126" s="1"/>
  <c r="O75" i="126"/>
  <c r="J80" i="126"/>
  <c r="S80" i="126" s="1"/>
  <c r="O80" i="126"/>
  <c r="J83" i="126"/>
  <c r="S83" i="126" s="1"/>
  <c r="O83" i="126"/>
  <c r="P7" i="126"/>
  <c r="R7" i="126" s="1"/>
  <c r="P11" i="126"/>
  <c r="R11" i="126" s="1"/>
  <c r="P23" i="126"/>
  <c r="R23" i="126" s="1"/>
  <c r="P35" i="126"/>
  <c r="R35" i="126" s="1"/>
  <c r="N36" i="126"/>
  <c r="R36" i="126"/>
  <c r="P47" i="126"/>
  <c r="R47" i="126" s="1"/>
  <c r="R49" i="126"/>
  <c r="J51" i="126"/>
  <c r="S51" i="126" s="1"/>
  <c r="O51" i="126"/>
  <c r="N54" i="126"/>
  <c r="P58" i="126"/>
  <c r="R58" i="126" s="1"/>
  <c r="S61" i="126"/>
  <c r="R72" i="126"/>
  <c r="R73" i="126"/>
  <c r="R80" i="126"/>
  <c r="R81" i="126"/>
  <c r="J87" i="126"/>
  <c r="S87" i="126" s="1"/>
  <c r="O87" i="126"/>
  <c r="P88" i="126"/>
  <c r="Q88" i="126"/>
  <c r="O48" i="126"/>
  <c r="N51" i="126"/>
  <c r="P54" i="126"/>
  <c r="R54" i="126" s="1"/>
  <c r="S56" i="126"/>
  <c r="N67" i="126"/>
  <c r="J68" i="126"/>
  <c r="S68" i="126" s="1"/>
  <c r="O68" i="126"/>
  <c r="S73" i="126"/>
  <c r="N83" i="126"/>
  <c r="J84" i="126"/>
  <c r="S84" i="126" s="1"/>
  <c r="O84" i="126"/>
  <c r="S48" i="126"/>
  <c r="N59" i="126"/>
  <c r="P62" i="126"/>
  <c r="R62" i="126" s="1"/>
  <c r="N75" i="126"/>
  <c r="J76" i="126"/>
  <c r="S76" i="126" s="1"/>
  <c r="O76" i="126"/>
  <c r="S81" i="126"/>
  <c r="O88" i="126"/>
  <c r="J88" i="126"/>
  <c r="S88" i="126" s="1"/>
  <c r="J92" i="126"/>
  <c r="S92" i="126" s="1"/>
  <c r="O92" i="126"/>
  <c r="O99" i="126"/>
  <c r="J99" i="126"/>
  <c r="S99" i="126" s="1"/>
  <c r="Q103" i="126"/>
  <c r="P103" i="126"/>
  <c r="Q70" i="126"/>
  <c r="R70" i="126" s="1"/>
  <c r="Q74" i="126"/>
  <c r="R74" i="126" s="1"/>
  <c r="Q78" i="126"/>
  <c r="R78" i="126" s="1"/>
  <c r="Q82" i="126"/>
  <c r="R82" i="126" s="1"/>
  <c r="N87" i="126"/>
  <c r="S89" i="126"/>
  <c r="O91" i="126"/>
  <c r="P86" i="126"/>
  <c r="R86" i="126" s="1"/>
  <c r="R87" i="126"/>
  <c r="O95" i="126"/>
  <c r="J95" i="126"/>
  <c r="S95" i="126" s="1"/>
  <c r="O103" i="126"/>
  <c r="J103" i="126"/>
  <c r="S103" i="126" s="1"/>
  <c r="Q90" i="126"/>
  <c r="R90" i="126" s="1"/>
  <c r="Q94" i="126"/>
  <c r="R94" i="126" s="1"/>
  <c r="O96" i="126"/>
  <c r="Q98" i="126"/>
  <c r="R98" i="126" s="1"/>
  <c r="O100" i="126"/>
  <c r="Q102" i="126"/>
  <c r="R102" i="126" s="1"/>
  <c r="O104" i="126"/>
  <c r="P105" i="126"/>
  <c r="R105" i="126" s="1"/>
  <c r="R95" i="126" l="1"/>
  <c r="R96" i="126"/>
  <c r="R68" i="126"/>
  <c r="R76" i="126"/>
  <c r="R57" i="126"/>
  <c r="R55" i="126"/>
  <c r="R77" i="126"/>
  <c r="R56" i="126"/>
  <c r="R38" i="126"/>
  <c r="R104" i="126"/>
  <c r="R69" i="126"/>
  <c r="R31" i="126"/>
  <c r="O107" i="126"/>
  <c r="O108" i="126" s="1"/>
  <c r="R88" i="126"/>
  <c r="R99" i="126"/>
  <c r="R26" i="126"/>
  <c r="R92" i="126"/>
  <c r="R85" i="126"/>
  <c r="R71" i="126"/>
  <c r="R100" i="126"/>
  <c r="R43" i="126"/>
  <c r="R34" i="126"/>
  <c r="R46" i="126"/>
  <c r="N107" i="126"/>
  <c r="N108" i="126" s="1"/>
  <c r="R103" i="126"/>
  <c r="R79" i="126"/>
  <c r="Q107" i="126"/>
  <c r="Q108" i="126" s="1"/>
  <c r="P107" i="126"/>
  <c r="P108" i="126" s="1"/>
  <c r="J107" i="126"/>
  <c r="S6" i="126"/>
  <c r="S107" i="126" s="1"/>
  <c r="R107" i="126" l="1"/>
  <c r="R108" i="126" s="1"/>
  <c r="S108" i="126"/>
  <c r="AM43" i="79" l="1"/>
  <c r="AN43" i="79" s="1"/>
  <c r="AL43" i="79"/>
  <c r="AJ43" i="79"/>
  <c r="AK43" i="79" s="1"/>
  <c r="AI43" i="79"/>
  <c r="AG43" i="79"/>
  <c r="AH43" i="79" s="1"/>
  <c r="AF43" i="79"/>
  <c r="AG9" i="79"/>
  <c r="AG4" i="79"/>
  <c r="AG3" i="79"/>
  <c r="X43" i="79"/>
  <c r="Y43" i="79" s="1"/>
  <c r="W43" i="79"/>
  <c r="U43" i="79"/>
  <c r="V43" i="79" s="1"/>
  <c r="T43" i="79"/>
  <c r="R43" i="79"/>
  <c r="S43" i="79" s="1"/>
  <c r="Q43" i="79"/>
  <c r="R9" i="79"/>
  <c r="R4" i="79"/>
  <c r="R3" i="79"/>
  <c r="C9" i="79"/>
  <c r="A42" i="79" s="1"/>
  <c r="C4" i="79"/>
  <c r="C3" i="79"/>
  <c r="H4" i="104"/>
  <c r="I7" i="104" s="1"/>
  <c r="J7" i="29"/>
  <c r="V19" i="119"/>
  <c r="U19" i="119"/>
  <c r="V18" i="119"/>
  <c r="U18" i="119"/>
  <c r="V17" i="119"/>
  <c r="U17" i="119"/>
  <c r="O19" i="119"/>
  <c r="N19" i="119"/>
  <c r="O18" i="119"/>
  <c r="N18" i="119"/>
  <c r="O17" i="119"/>
  <c r="N17" i="119"/>
  <c r="V19" i="33"/>
  <c r="U19" i="33"/>
  <c r="V18" i="33"/>
  <c r="U18" i="33"/>
  <c r="V17" i="33"/>
  <c r="U17" i="33"/>
  <c r="O19" i="33"/>
  <c r="N19" i="33"/>
  <c r="O18" i="33"/>
  <c r="N18" i="33"/>
  <c r="O17" i="33"/>
  <c r="N17" i="33"/>
  <c r="T21" i="119"/>
  <c r="U21" i="119" s="1"/>
  <c r="S21" i="119"/>
  <c r="R21" i="119"/>
  <c r="Q21" i="119"/>
  <c r="P21" i="119"/>
  <c r="M21" i="119"/>
  <c r="L21" i="119"/>
  <c r="K21" i="119"/>
  <c r="J21" i="119"/>
  <c r="I21" i="119"/>
  <c r="F21" i="119"/>
  <c r="E21" i="119"/>
  <c r="D21" i="119"/>
  <c r="C21" i="119"/>
  <c r="B21" i="119"/>
  <c r="T20" i="119"/>
  <c r="U20" i="119" s="1"/>
  <c r="S20" i="119"/>
  <c r="R20" i="119"/>
  <c r="Q20" i="119"/>
  <c r="P20" i="119"/>
  <c r="M20" i="119"/>
  <c r="O20" i="119" s="1"/>
  <c r="L20" i="119"/>
  <c r="K20" i="119"/>
  <c r="J20" i="119"/>
  <c r="I20" i="119"/>
  <c r="F20" i="119"/>
  <c r="H20" i="119" s="1"/>
  <c r="E20" i="119"/>
  <c r="D20" i="119"/>
  <c r="C20" i="119"/>
  <c r="B20" i="119"/>
  <c r="H19" i="119"/>
  <c r="G19" i="119"/>
  <c r="H18" i="119"/>
  <c r="G18" i="119"/>
  <c r="H17" i="119"/>
  <c r="G17" i="119"/>
  <c r="S11" i="119"/>
  <c r="L11" i="119"/>
  <c r="E11" i="119"/>
  <c r="Q10" i="119"/>
  <c r="J10" i="119"/>
  <c r="C9" i="119"/>
  <c r="J9" i="119" s="1"/>
  <c r="C4" i="119"/>
  <c r="J4" i="119" s="1"/>
  <c r="C3" i="119"/>
  <c r="Q3" i="119" s="1"/>
  <c r="E11" i="33"/>
  <c r="Q10" i="33"/>
  <c r="J10" i="33"/>
  <c r="T21" i="33"/>
  <c r="U21" i="33" s="1"/>
  <c r="S21" i="33"/>
  <c r="R21" i="33"/>
  <c r="Q21" i="33"/>
  <c r="P21" i="33"/>
  <c r="T20" i="33"/>
  <c r="U20" i="33" s="1"/>
  <c r="S20" i="33"/>
  <c r="R20" i="33"/>
  <c r="Q20" i="33"/>
  <c r="P20" i="33"/>
  <c r="S11" i="33"/>
  <c r="M21" i="33"/>
  <c r="L21" i="33"/>
  <c r="K21" i="33"/>
  <c r="J21" i="33"/>
  <c r="I21" i="33"/>
  <c r="M20" i="33"/>
  <c r="O20" i="33" s="1"/>
  <c r="L20" i="33"/>
  <c r="K20" i="33"/>
  <c r="J20" i="33"/>
  <c r="I20" i="33"/>
  <c r="L11" i="33"/>
  <c r="V20" i="119"/>
  <c r="V20" i="33"/>
  <c r="O21" i="119"/>
  <c r="N21" i="119"/>
  <c r="V21" i="33"/>
  <c r="S43" i="118"/>
  <c r="L43" i="118"/>
  <c r="E43" i="118"/>
  <c r="U43" i="118"/>
  <c r="V43" i="118" s="1"/>
  <c r="T43" i="118"/>
  <c r="R43" i="118"/>
  <c r="Q43" i="118"/>
  <c r="P43" i="118"/>
  <c r="N43" i="118"/>
  <c r="O43" i="118" s="1"/>
  <c r="M43" i="118"/>
  <c r="K43" i="118"/>
  <c r="J43" i="118"/>
  <c r="I43" i="118"/>
  <c r="G43" i="118"/>
  <c r="H43" i="118" s="1"/>
  <c r="F43" i="118"/>
  <c r="D43" i="118"/>
  <c r="C43" i="118"/>
  <c r="B43" i="118"/>
  <c r="Q10" i="118"/>
  <c r="J10" i="118"/>
  <c r="C9" i="118"/>
  <c r="A42" i="118" s="1"/>
  <c r="C4" i="118"/>
  <c r="J4" i="118" s="1"/>
  <c r="C3" i="118"/>
  <c r="J3" i="118" s="1"/>
  <c r="T113" i="117"/>
  <c r="V113" i="117"/>
  <c r="S113" i="117"/>
  <c r="R113" i="117"/>
  <c r="Q113" i="117"/>
  <c r="P113" i="117"/>
  <c r="M113" i="117"/>
  <c r="O113" i="117" s="1"/>
  <c r="L113" i="117"/>
  <c r="K113" i="117"/>
  <c r="J113" i="117"/>
  <c r="I113" i="117"/>
  <c r="F113" i="117"/>
  <c r="H113" i="117" s="1"/>
  <c r="E113" i="117"/>
  <c r="D113" i="117"/>
  <c r="C113" i="117"/>
  <c r="B113" i="117"/>
  <c r="T79" i="117"/>
  <c r="V79" i="117" s="1"/>
  <c r="S79" i="117"/>
  <c r="R79" i="117"/>
  <c r="Q79" i="117"/>
  <c r="P79" i="117"/>
  <c r="M79" i="117"/>
  <c r="N79" i="117" s="1"/>
  <c r="L79" i="117"/>
  <c r="K79" i="117"/>
  <c r="J79" i="117"/>
  <c r="I79" i="117"/>
  <c r="F79" i="117"/>
  <c r="H79" i="117" s="1"/>
  <c r="E79" i="117"/>
  <c r="D79" i="117"/>
  <c r="C79" i="117"/>
  <c r="B79" i="117"/>
  <c r="T45" i="117"/>
  <c r="V45" i="117" s="1"/>
  <c r="S45" i="117"/>
  <c r="R45" i="117"/>
  <c r="Q45" i="117"/>
  <c r="P45" i="117"/>
  <c r="M45" i="117"/>
  <c r="N45" i="117" s="1"/>
  <c r="O45" i="117"/>
  <c r="L45" i="117"/>
  <c r="K45" i="117"/>
  <c r="J45" i="117"/>
  <c r="I45" i="117"/>
  <c r="F45" i="117"/>
  <c r="G45" i="117" s="1"/>
  <c r="E45" i="117"/>
  <c r="D45" i="117"/>
  <c r="C45" i="117"/>
  <c r="B45" i="117"/>
  <c r="Q10" i="117"/>
  <c r="J10" i="117"/>
  <c r="C9" i="117"/>
  <c r="A112" i="117" s="1"/>
  <c r="C4" i="117"/>
  <c r="J4" i="117" s="1"/>
  <c r="C3" i="117"/>
  <c r="Q3" i="117" s="1"/>
  <c r="Q10" i="72"/>
  <c r="J10" i="72"/>
  <c r="T43" i="72"/>
  <c r="U43" i="72" s="1"/>
  <c r="S43" i="72"/>
  <c r="R43" i="72"/>
  <c r="Q43" i="72"/>
  <c r="P43" i="72"/>
  <c r="M43" i="72"/>
  <c r="N43" i="72" s="1"/>
  <c r="L43" i="72"/>
  <c r="K43" i="72"/>
  <c r="J43" i="72"/>
  <c r="I43" i="72"/>
  <c r="G113" i="117"/>
  <c r="U113" i="117"/>
  <c r="G79" i="117"/>
  <c r="O79" i="117"/>
  <c r="V43" i="72"/>
  <c r="F43" i="72"/>
  <c r="G43" i="72" s="1"/>
  <c r="E43" i="72"/>
  <c r="D43" i="72"/>
  <c r="C43" i="72"/>
  <c r="B43" i="72"/>
  <c r="C9" i="116"/>
  <c r="C4" i="116"/>
  <c r="C3" i="116"/>
  <c r="C9" i="115"/>
  <c r="C4" i="115"/>
  <c r="C3" i="115"/>
  <c r="I43" i="114"/>
  <c r="J43" i="114" s="1"/>
  <c r="H43" i="114"/>
  <c r="F43" i="114"/>
  <c r="G43" i="114" s="1"/>
  <c r="E43" i="114"/>
  <c r="C43" i="114"/>
  <c r="D43" i="114" s="1"/>
  <c r="B43" i="114"/>
  <c r="C9" i="114"/>
  <c r="A42" i="114" s="1"/>
  <c r="C4" i="114"/>
  <c r="C3" i="114"/>
  <c r="I43" i="113"/>
  <c r="J43" i="113" s="1"/>
  <c r="H43" i="113"/>
  <c r="F43" i="113"/>
  <c r="G43" i="113" s="1"/>
  <c r="E43" i="113"/>
  <c r="C43" i="113"/>
  <c r="D43" i="113" s="1"/>
  <c r="B43" i="113"/>
  <c r="C9" i="113"/>
  <c r="C4" i="113"/>
  <c r="C3" i="113"/>
  <c r="I43" i="112"/>
  <c r="J43" i="112" s="1"/>
  <c r="H43" i="112"/>
  <c r="F43" i="112"/>
  <c r="G43" i="112" s="1"/>
  <c r="E43" i="112"/>
  <c r="C43" i="112"/>
  <c r="D43" i="112" s="1"/>
  <c r="B43" i="112"/>
  <c r="C9" i="112"/>
  <c r="A42" i="112" s="1"/>
  <c r="C4" i="112"/>
  <c r="C3" i="112"/>
  <c r="C9" i="111"/>
  <c r="C4" i="111"/>
  <c r="C3" i="111"/>
  <c r="I43" i="110"/>
  <c r="J43" i="110" s="1"/>
  <c r="H43" i="110"/>
  <c r="F43" i="110"/>
  <c r="G43" i="110" s="1"/>
  <c r="E43" i="110"/>
  <c r="C43" i="110"/>
  <c r="D43" i="110" s="1"/>
  <c r="B43" i="110"/>
  <c r="C9" i="110"/>
  <c r="A42" i="110" s="1"/>
  <c r="C4" i="110"/>
  <c r="C3" i="110"/>
  <c r="I43" i="109"/>
  <c r="J43" i="109" s="1"/>
  <c r="H43" i="109"/>
  <c r="F43" i="109"/>
  <c r="G43" i="109" s="1"/>
  <c r="E43" i="109"/>
  <c r="C43" i="109"/>
  <c r="D43" i="109" s="1"/>
  <c r="B43" i="109"/>
  <c r="C9" i="109"/>
  <c r="A42" i="109" s="1"/>
  <c r="C4" i="109"/>
  <c r="C3" i="109"/>
  <c r="I43" i="108"/>
  <c r="J43" i="108" s="1"/>
  <c r="H43" i="108"/>
  <c r="F43" i="108"/>
  <c r="G43" i="108" s="1"/>
  <c r="E43" i="108"/>
  <c r="C43" i="108"/>
  <c r="D43" i="108" s="1"/>
  <c r="B43" i="108"/>
  <c r="C9" i="108"/>
  <c r="A42" i="108" s="1"/>
  <c r="C4" i="108"/>
  <c r="C3" i="108"/>
  <c r="I43" i="107"/>
  <c r="H43" i="107"/>
  <c r="F43" i="107"/>
  <c r="G43" i="107" s="1"/>
  <c r="E43" i="107"/>
  <c r="C43" i="107"/>
  <c r="D43" i="107" s="1"/>
  <c r="B43" i="107"/>
  <c r="C9" i="107"/>
  <c r="A42" i="107" s="1"/>
  <c r="C4" i="107"/>
  <c r="C3" i="107"/>
  <c r="C9" i="106"/>
  <c r="C4" i="106"/>
  <c r="C3" i="106"/>
  <c r="J43" i="107"/>
  <c r="D3" i="105"/>
  <c r="G6" i="105" s="1"/>
  <c r="AG43" i="102"/>
  <c r="AH43" i="102" s="1"/>
  <c r="AF43" i="102"/>
  <c r="AD43" i="102"/>
  <c r="AE43" i="102" s="1"/>
  <c r="AC43" i="102"/>
  <c r="AA43" i="102"/>
  <c r="AB43" i="102" s="1"/>
  <c r="Z43" i="102"/>
  <c r="U43" i="102"/>
  <c r="V43" i="102" s="1"/>
  <c r="T43" i="102"/>
  <c r="R43" i="102"/>
  <c r="S43" i="102" s="1"/>
  <c r="Q43" i="102"/>
  <c r="O43" i="102"/>
  <c r="P43" i="102" s="1"/>
  <c r="N43" i="102"/>
  <c r="I43" i="102"/>
  <c r="J43" i="102" s="1"/>
  <c r="H43" i="102"/>
  <c r="F43" i="102"/>
  <c r="G43" i="102" s="1"/>
  <c r="E43" i="102"/>
  <c r="C43" i="102"/>
  <c r="D43" i="102" s="1"/>
  <c r="B43" i="102"/>
  <c r="AM10" i="102"/>
  <c r="AA10" i="102"/>
  <c r="O10" i="102"/>
  <c r="C9" i="102"/>
  <c r="A42" i="102" s="1"/>
  <c r="C4" i="102"/>
  <c r="AM4" i="102" s="1"/>
  <c r="C3" i="102"/>
  <c r="AM3" i="102" s="1"/>
  <c r="AM44" i="101"/>
  <c r="AN44" i="101" s="1"/>
  <c r="AL44" i="101"/>
  <c r="AJ44" i="101"/>
  <c r="AK44" i="101" s="1"/>
  <c r="AI44" i="101"/>
  <c r="AG44" i="101"/>
  <c r="AH44" i="101" s="1"/>
  <c r="AF44" i="101"/>
  <c r="X44" i="101"/>
  <c r="Y44" i="101" s="1"/>
  <c r="W44" i="101"/>
  <c r="U44" i="101"/>
  <c r="V44" i="101" s="1"/>
  <c r="T44" i="101"/>
  <c r="R44" i="101"/>
  <c r="S44" i="101" s="1"/>
  <c r="Q44" i="101"/>
  <c r="I44" i="101"/>
  <c r="J44" i="101" s="1"/>
  <c r="H44" i="101"/>
  <c r="F44" i="101"/>
  <c r="G44" i="101" s="1"/>
  <c r="E44" i="101"/>
  <c r="C44" i="101"/>
  <c r="D44" i="101" s="1"/>
  <c r="B44" i="101"/>
  <c r="AG10" i="101"/>
  <c r="R10" i="101"/>
  <c r="C9" i="101"/>
  <c r="A43" i="101" s="1"/>
  <c r="C4" i="101"/>
  <c r="AG4" i="101" s="1"/>
  <c r="C3" i="101"/>
  <c r="R3" i="101" s="1"/>
  <c r="AM44" i="99"/>
  <c r="AN44" i="99" s="1"/>
  <c r="AL44" i="99"/>
  <c r="AJ44" i="99"/>
  <c r="AK44" i="99" s="1"/>
  <c r="AI44" i="99"/>
  <c r="AG44" i="99"/>
  <c r="AH44" i="99" s="1"/>
  <c r="AF44" i="99"/>
  <c r="X44" i="99"/>
  <c r="Y44" i="99" s="1"/>
  <c r="W44" i="99"/>
  <c r="U44" i="99"/>
  <c r="V44" i="99" s="1"/>
  <c r="T44" i="99"/>
  <c r="R44" i="99"/>
  <c r="S44" i="99" s="1"/>
  <c r="Q44" i="99"/>
  <c r="I44" i="99"/>
  <c r="J44" i="99" s="1"/>
  <c r="H44" i="99"/>
  <c r="F44" i="99"/>
  <c r="G44" i="99" s="1"/>
  <c r="E44" i="99"/>
  <c r="C44" i="99"/>
  <c r="D44" i="99" s="1"/>
  <c r="B44" i="99"/>
  <c r="AG10" i="99"/>
  <c r="R10" i="99"/>
  <c r="C9" i="99"/>
  <c r="A43" i="99" s="1"/>
  <c r="C4" i="99"/>
  <c r="R4" i="99" s="1"/>
  <c r="C3" i="99"/>
  <c r="AG3" i="99" s="1"/>
  <c r="C9" i="98"/>
  <c r="C4" i="98"/>
  <c r="C3" i="98"/>
  <c r="C9" i="97"/>
  <c r="C4" i="97"/>
  <c r="C3" i="97"/>
  <c r="T44" i="96"/>
  <c r="V44" i="96" s="1"/>
  <c r="S44" i="96"/>
  <c r="R44" i="96"/>
  <c r="Q44" i="96"/>
  <c r="P44" i="96"/>
  <c r="M44" i="96"/>
  <c r="L44" i="96"/>
  <c r="K44" i="96"/>
  <c r="J44" i="96"/>
  <c r="I44" i="96"/>
  <c r="F44" i="96"/>
  <c r="H44" i="96" s="1"/>
  <c r="E44" i="96"/>
  <c r="D44" i="96"/>
  <c r="C44" i="96"/>
  <c r="B44" i="96"/>
  <c r="Q10" i="96"/>
  <c r="J10" i="96"/>
  <c r="C9" i="96"/>
  <c r="A43" i="96" s="1"/>
  <c r="C4" i="96"/>
  <c r="J4" i="96" s="1"/>
  <c r="C3" i="96"/>
  <c r="Q3" i="96" s="1"/>
  <c r="Q10" i="94"/>
  <c r="J10" i="94"/>
  <c r="T44" i="94"/>
  <c r="V44" i="94" s="1"/>
  <c r="S44" i="94"/>
  <c r="R44" i="94"/>
  <c r="Q44" i="94"/>
  <c r="P44" i="94"/>
  <c r="M44" i="94"/>
  <c r="O44" i="94" s="1"/>
  <c r="L44" i="94"/>
  <c r="K44" i="94"/>
  <c r="J44" i="94"/>
  <c r="I44" i="94"/>
  <c r="D44" i="94"/>
  <c r="C44" i="94"/>
  <c r="B44" i="94"/>
  <c r="F44" i="94"/>
  <c r="G44" i="94" s="1"/>
  <c r="E44" i="94"/>
  <c r="C9" i="94"/>
  <c r="A43" i="94" s="1"/>
  <c r="C4" i="94"/>
  <c r="Q4" i="94" s="1"/>
  <c r="C3" i="94"/>
  <c r="J3" i="94" s="1"/>
  <c r="F20" i="33"/>
  <c r="H20" i="33" s="1"/>
  <c r="E20" i="33"/>
  <c r="D20" i="33"/>
  <c r="C20" i="33"/>
  <c r="B20" i="33"/>
  <c r="F21" i="33"/>
  <c r="H21" i="33" s="1"/>
  <c r="E21" i="33"/>
  <c r="D21" i="33"/>
  <c r="C21" i="33"/>
  <c r="B21" i="33"/>
  <c r="H19" i="33"/>
  <c r="G19" i="33"/>
  <c r="AF81" i="90"/>
  <c r="AC81" i="90"/>
  <c r="Z81" i="90"/>
  <c r="T81" i="90"/>
  <c r="Q81" i="90"/>
  <c r="N81" i="90"/>
  <c r="H81" i="90"/>
  <c r="E81" i="90"/>
  <c r="B81" i="90"/>
  <c r="AF46" i="90"/>
  <c r="AC46" i="90"/>
  <c r="Z46" i="90"/>
  <c r="T46" i="90"/>
  <c r="Q46" i="90"/>
  <c r="N46" i="90"/>
  <c r="H46" i="90"/>
  <c r="E46" i="90"/>
  <c r="B46" i="90"/>
  <c r="AM10" i="90"/>
  <c r="AA10" i="90"/>
  <c r="O10" i="90"/>
  <c r="C9" i="90"/>
  <c r="A80" i="90" s="1"/>
  <c r="C4" i="90"/>
  <c r="C3" i="90"/>
  <c r="O3" i="90" s="1"/>
  <c r="AM10" i="78"/>
  <c r="AA10" i="78"/>
  <c r="O10" i="78"/>
  <c r="AG79" i="78"/>
  <c r="AH79" i="78" s="1"/>
  <c r="AF79" i="78"/>
  <c r="AD79" i="78"/>
  <c r="AE79" i="78" s="1"/>
  <c r="AC79" i="78"/>
  <c r="AA79" i="78"/>
  <c r="AB79" i="78" s="1"/>
  <c r="Z79" i="78"/>
  <c r="U79" i="78"/>
  <c r="V79" i="78" s="1"/>
  <c r="T79" i="78"/>
  <c r="R79" i="78"/>
  <c r="S79" i="78" s="1"/>
  <c r="Q79" i="78"/>
  <c r="O79" i="78"/>
  <c r="P79" i="78" s="1"/>
  <c r="N79" i="78"/>
  <c r="I79" i="78"/>
  <c r="J79" i="78" s="1"/>
  <c r="H79" i="78"/>
  <c r="F79" i="78"/>
  <c r="G79" i="78" s="1"/>
  <c r="E79" i="78"/>
  <c r="C79" i="78"/>
  <c r="D79" i="78" s="1"/>
  <c r="B79" i="78"/>
  <c r="AG45" i="78"/>
  <c r="AH45" i="78" s="1"/>
  <c r="AF45" i="78"/>
  <c r="AD45" i="78"/>
  <c r="AE45" i="78" s="1"/>
  <c r="AC45" i="78"/>
  <c r="AA45" i="78"/>
  <c r="AB45" i="78" s="1"/>
  <c r="Z45" i="78"/>
  <c r="AL81" i="90"/>
  <c r="AL46" i="90"/>
  <c r="C4" i="72"/>
  <c r="Q4" i="72" s="1"/>
  <c r="C4" i="33"/>
  <c r="J4" i="33" s="1"/>
  <c r="C4" i="78"/>
  <c r="AM4" i="78" s="1"/>
  <c r="C4" i="88"/>
  <c r="C4" i="87"/>
  <c r="I3" i="29"/>
  <c r="I4" i="29"/>
  <c r="C9" i="88"/>
  <c r="C3" i="88"/>
  <c r="C9" i="87"/>
  <c r="C3" i="87"/>
  <c r="I43" i="79"/>
  <c r="J43" i="79" s="1"/>
  <c r="H43" i="79"/>
  <c r="F43" i="79"/>
  <c r="G43" i="79" s="1"/>
  <c r="E43" i="79"/>
  <c r="C43" i="79"/>
  <c r="D43" i="79" s="1"/>
  <c r="B43" i="79"/>
  <c r="U45" i="78"/>
  <c r="V45" i="78" s="1"/>
  <c r="T45" i="78"/>
  <c r="R45" i="78"/>
  <c r="S45" i="78" s="1"/>
  <c r="Q45" i="78"/>
  <c r="O45" i="78"/>
  <c r="P45" i="78" s="1"/>
  <c r="N45" i="78"/>
  <c r="I45" i="78"/>
  <c r="J45" i="78" s="1"/>
  <c r="H45" i="78"/>
  <c r="F45" i="78"/>
  <c r="G45" i="78" s="1"/>
  <c r="E45" i="78"/>
  <c r="C45" i="78"/>
  <c r="D45" i="78" s="1"/>
  <c r="B45" i="78"/>
  <c r="C9" i="78"/>
  <c r="A78" i="78" s="1"/>
  <c r="C3" i="78"/>
  <c r="AM3" i="78" s="1"/>
  <c r="H18" i="33"/>
  <c r="G18" i="33"/>
  <c r="H17" i="33"/>
  <c r="G17" i="33"/>
  <c r="AM79" i="78"/>
  <c r="AN79" i="78" s="1"/>
  <c r="AL79" i="78"/>
  <c r="AM45" i="78"/>
  <c r="AN45" i="78" s="1"/>
  <c r="AL45" i="78"/>
  <c r="C9" i="72"/>
  <c r="A42" i="72" s="1"/>
  <c r="C3" i="72"/>
  <c r="Q3" i="72" s="1"/>
  <c r="C9" i="33"/>
  <c r="Q9" i="33" s="1"/>
  <c r="C3" i="33"/>
  <c r="J3" i="33" s="1"/>
  <c r="J12" i="29"/>
  <c r="J11" i="29"/>
  <c r="J10" i="29"/>
  <c r="J9" i="29"/>
  <c r="AM80" i="90" l="1"/>
  <c r="O80" i="90"/>
  <c r="R80" i="90"/>
  <c r="I80" i="90"/>
  <c r="F80" i="90"/>
  <c r="AD80" i="90"/>
  <c r="AA80" i="90"/>
  <c r="U80" i="90"/>
  <c r="C80" i="90"/>
  <c r="AG80" i="90"/>
  <c r="U79" i="117"/>
  <c r="N20" i="33"/>
  <c r="A42" i="113"/>
  <c r="A41" i="113"/>
  <c r="AE80" i="90"/>
  <c r="W80" i="90"/>
  <c r="G80" i="90"/>
  <c r="AK80" i="90"/>
  <c r="V80" i="90"/>
  <c r="M80" i="90"/>
  <c r="AI80" i="90"/>
  <c r="S80" i="90"/>
  <c r="K80" i="90"/>
  <c r="AN80" i="90"/>
  <c r="X80" i="90"/>
  <c r="AB80" i="90"/>
  <c r="L80" i="90"/>
  <c r="Y80" i="90"/>
  <c r="J80" i="90"/>
  <c r="AJ80" i="90"/>
  <c r="D80" i="90"/>
  <c r="AH80" i="90"/>
  <c r="P80" i="90"/>
  <c r="G21" i="33"/>
  <c r="G20" i="119"/>
  <c r="U45" i="117"/>
  <c r="G20" i="33"/>
  <c r="N20" i="119"/>
  <c r="V21" i="119"/>
  <c r="H45" i="117"/>
  <c r="A36" i="79"/>
  <c r="AO36" i="79" s="1"/>
  <c r="A41" i="79"/>
  <c r="V42" i="118"/>
  <c r="A41" i="118"/>
  <c r="A111" i="117"/>
  <c r="A78" i="117"/>
  <c r="G78" i="117" s="1"/>
  <c r="A77" i="117"/>
  <c r="A44" i="117"/>
  <c r="N44" i="117" s="1"/>
  <c r="A43" i="117"/>
  <c r="G42" i="72"/>
  <c r="A41" i="72"/>
  <c r="A41" i="114"/>
  <c r="J42" i="113"/>
  <c r="A41" i="112"/>
  <c r="A41" i="110"/>
  <c r="A41" i="109"/>
  <c r="A41" i="108"/>
  <c r="A41" i="107"/>
  <c r="A41" i="102"/>
  <c r="V43" i="101"/>
  <c r="A42" i="101"/>
  <c r="A42" i="99"/>
  <c r="A42" i="96"/>
  <c r="N44" i="94"/>
  <c r="A42" i="94"/>
  <c r="A79" i="90"/>
  <c r="A45" i="90"/>
  <c r="A44" i="90"/>
  <c r="A44" i="78"/>
  <c r="AJ44" i="78" s="1"/>
  <c r="A77" i="78"/>
  <c r="A43" i="78"/>
  <c r="N44" i="96"/>
  <c r="O44" i="96"/>
  <c r="O21" i="33"/>
  <c r="N21" i="33"/>
  <c r="H21" i="119"/>
  <c r="G21" i="119"/>
  <c r="U44" i="96"/>
  <c r="A25" i="79"/>
  <c r="O25" i="79" s="1"/>
  <c r="A24" i="79"/>
  <c r="Z24" i="79" s="1"/>
  <c r="A40" i="118"/>
  <c r="A110" i="117"/>
  <c r="A76" i="117"/>
  <c r="A42" i="117"/>
  <c r="A40" i="72"/>
  <c r="H43" i="72"/>
  <c r="A40" i="114"/>
  <c r="A40" i="113"/>
  <c r="A40" i="112"/>
  <c r="A40" i="110"/>
  <c r="A40" i="109"/>
  <c r="A40" i="108"/>
  <c r="A40" i="107"/>
  <c r="A41" i="101"/>
  <c r="AS43" i="99"/>
  <c r="AT43" i="99" s="1"/>
  <c r="A41" i="99"/>
  <c r="A41" i="96"/>
  <c r="G44" i="96"/>
  <c r="A78" i="90"/>
  <c r="U44" i="94"/>
  <c r="A41" i="94"/>
  <c r="A43" i="90"/>
  <c r="A27" i="79"/>
  <c r="Z27" i="79" s="1"/>
  <c r="A18" i="79"/>
  <c r="K18" i="79" s="1"/>
  <c r="A34" i="79"/>
  <c r="V34" i="79" s="1"/>
  <c r="A21" i="79"/>
  <c r="AK21" i="79" s="1"/>
  <c r="A37" i="79"/>
  <c r="AC37" i="79" s="1"/>
  <c r="A30" i="79"/>
  <c r="AR30" i="79" s="1"/>
  <c r="A23" i="79"/>
  <c r="V23" i="79" s="1"/>
  <c r="A39" i="79"/>
  <c r="L39" i="79" s="1"/>
  <c r="M39" i="79" s="1"/>
  <c r="A40" i="79"/>
  <c r="S40" i="79" s="1"/>
  <c r="Y42" i="79"/>
  <c r="A20" i="79"/>
  <c r="AH20" i="79" s="1"/>
  <c r="A29" i="79"/>
  <c r="AP29" i="79" s="1"/>
  <c r="A22" i="79"/>
  <c r="AO22" i="79" s="1"/>
  <c r="A38" i="79"/>
  <c r="D38" i="79" s="1"/>
  <c r="A31" i="79"/>
  <c r="A28" i="79"/>
  <c r="AH28" i="79" s="1"/>
  <c r="A17" i="79"/>
  <c r="AC17" i="79" s="1"/>
  <c r="A33" i="79"/>
  <c r="N33" i="79" s="1"/>
  <c r="A26" i="79"/>
  <c r="K26" i="79" s="1"/>
  <c r="A19" i="79"/>
  <c r="Y19" i="79" s="1"/>
  <c r="A35" i="79"/>
  <c r="AO35" i="79" s="1"/>
  <c r="A32" i="79"/>
  <c r="Z32" i="79" s="1"/>
  <c r="A39" i="118"/>
  <c r="N113" i="117"/>
  <c r="A109" i="117"/>
  <c r="A75" i="117"/>
  <c r="A95" i="117"/>
  <c r="O95" i="117" s="1"/>
  <c r="A41" i="117"/>
  <c r="J9" i="72"/>
  <c r="A39" i="72"/>
  <c r="O43" i="72"/>
  <c r="A19" i="114"/>
  <c r="J19" i="114" s="1"/>
  <c r="A39" i="114"/>
  <c r="A38" i="113"/>
  <c r="J38" i="113" s="1"/>
  <c r="A39" i="113"/>
  <c r="A38" i="112"/>
  <c r="J38" i="112" s="1"/>
  <c r="A39" i="112"/>
  <c r="A38" i="110"/>
  <c r="D38" i="110" s="1"/>
  <c r="A39" i="110"/>
  <c r="A18" i="109"/>
  <c r="J18" i="109" s="1"/>
  <c r="A39" i="109"/>
  <c r="A16" i="108"/>
  <c r="J16" i="108" s="1"/>
  <c r="A39" i="108"/>
  <c r="A38" i="107"/>
  <c r="A39" i="107"/>
  <c r="A31" i="102"/>
  <c r="G31" i="102" s="1"/>
  <c r="A40" i="102"/>
  <c r="A39" i="101"/>
  <c r="J39" i="101" s="1"/>
  <c r="A40" i="101"/>
  <c r="A40" i="99"/>
  <c r="A40" i="96"/>
  <c r="H44" i="94"/>
  <c r="A40" i="94"/>
  <c r="A77" i="90"/>
  <c r="A42" i="90"/>
  <c r="A76" i="78"/>
  <c r="A21" i="78"/>
  <c r="X21" i="78" s="1"/>
  <c r="A42" i="78"/>
  <c r="A24" i="109"/>
  <c r="J24" i="109" s="1"/>
  <c r="A17" i="107"/>
  <c r="G17" i="107" s="1"/>
  <c r="A37" i="108"/>
  <c r="A32" i="114"/>
  <c r="J32" i="114" s="1"/>
  <c r="A36" i="107"/>
  <c r="J36" i="107" s="1"/>
  <c r="A20" i="112"/>
  <c r="D20" i="112" s="1"/>
  <c r="A19" i="107"/>
  <c r="D19" i="107" s="1"/>
  <c r="A33" i="107"/>
  <c r="G33" i="107" s="1"/>
  <c r="A17" i="110"/>
  <c r="D17" i="110" s="1"/>
  <c r="A28" i="112"/>
  <c r="G28" i="112" s="1"/>
  <c r="A20" i="107"/>
  <c r="A25" i="114"/>
  <c r="D25" i="114" s="1"/>
  <c r="A26" i="113"/>
  <c r="J26" i="113" s="1"/>
  <c r="A31" i="107"/>
  <c r="G31" i="107" s="1"/>
  <c r="A37" i="107"/>
  <c r="D37" i="107" s="1"/>
  <c r="A26" i="107"/>
  <c r="J26" i="107" s="1"/>
  <c r="A17" i="114"/>
  <c r="G17" i="114" s="1"/>
  <c r="A37" i="113"/>
  <c r="G37" i="113" s="1"/>
  <c r="A35" i="107"/>
  <c r="D35" i="107" s="1"/>
  <c r="A21" i="72"/>
  <c r="V21" i="72" s="1"/>
  <c r="A37" i="109"/>
  <c r="J37" i="109" s="1"/>
  <c r="A31" i="110"/>
  <c r="J31" i="110" s="1"/>
  <c r="A31" i="109"/>
  <c r="D31" i="109" s="1"/>
  <c r="A25" i="110"/>
  <c r="G25" i="110" s="1"/>
  <c r="A23" i="108"/>
  <c r="D23" i="108" s="1"/>
  <c r="A16" i="109"/>
  <c r="G42" i="109"/>
  <c r="A17" i="94"/>
  <c r="H17" i="94" s="1"/>
  <c r="A28" i="107"/>
  <c r="G28" i="107" s="1"/>
  <c r="A21" i="107"/>
  <c r="D21" i="107" s="1"/>
  <c r="A22" i="107"/>
  <c r="G22" i="107" s="1"/>
  <c r="A30" i="108"/>
  <c r="J30" i="108" s="1"/>
  <c r="A35" i="112"/>
  <c r="A20" i="113"/>
  <c r="A40" i="78"/>
  <c r="AE40" i="78" s="1"/>
  <c r="A28" i="72"/>
  <c r="G28" i="72" s="1"/>
  <c r="A31" i="108"/>
  <c r="J31" i="108" s="1"/>
  <c r="A25" i="108"/>
  <c r="D25" i="108" s="1"/>
  <c r="A18" i="108"/>
  <c r="J18" i="108" s="1"/>
  <c r="A32" i="109"/>
  <c r="G32" i="109" s="1"/>
  <c r="A25" i="109"/>
  <c r="D25" i="109" s="1"/>
  <c r="A19" i="109"/>
  <c r="A33" i="110"/>
  <c r="A26" i="110"/>
  <c r="G26" i="110" s="1"/>
  <c r="A19" i="110"/>
  <c r="G19" i="110" s="1"/>
  <c r="A33" i="114"/>
  <c r="J33" i="114" s="1"/>
  <c r="A27" i="114"/>
  <c r="D27" i="114" s="1"/>
  <c r="A20" i="114"/>
  <c r="G20" i="114" s="1"/>
  <c r="A36" i="112"/>
  <c r="G36" i="112" s="1"/>
  <c r="A29" i="112"/>
  <c r="G29" i="112" s="1"/>
  <c r="A23" i="112"/>
  <c r="D23" i="112" s="1"/>
  <c r="A31" i="113"/>
  <c r="A21" i="113"/>
  <c r="J21" i="113" s="1"/>
  <c r="A32" i="113"/>
  <c r="G32" i="113" s="1"/>
  <c r="A35" i="113"/>
  <c r="G42" i="112"/>
  <c r="A39" i="78"/>
  <c r="G39" i="78" s="1"/>
  <c r="A25" i="96"/>
  <c r="G25" i="96" s="1"/>
  <c r="A35" i="108"/>
  <c r="J35" i="108" s="1"/>
  <c r="A29" i="108"/>
  <c r="D29" i="108" s="1"/>
  <c r="A21" i="108"/>
  <c r="J21" i="108" s="1"/>
  <c r="A36" i="109"/>
  <c r="G36" i="109" s="1"/>
  <c r="A29" i="109"/>
  <c r="D29" i="109" s="1"/>
  <c r="A21" i="109"/>
  <c r="D21" i="109" s="1"/>
  <c r="A37" i="110"/>
  <c r="A30" i="110"/>
  <c r="D30" i="110" s="1"/>
  <c r="A22" i="110"/>
  <c r="D22" i="110" s="1"/>
  <c r="A37" i="114"/>
  <c r="J37" i="114" s="1"/>
  <c r="A31" i="114"/>
  <c r="G31" i="114" s="1"/>
  <c r="A23" i="114"/>
  <c r="G23" i="114" s="1"/>
  <c r="A16" i="114"/>
  <c r="G16" i="114" s="1"/>
  <c r="A33" i="112"/>
  <c r="J33" i="112" s="1"/>
  <c r="A25" i="112"/>
  <c r="G25" i="112" s="1"/>
  <c r="A19" i="112"/>
  <c r="J19" i="112" s="1"/>
  <c r="A25" i="113"/>
  <c r="D25" i="113" s="1"/>
  <c r="A17" i="113"/>
  <c r="G17" i="113" s="1"/>
  <c r="A29" i="113"/>
  <c r="G29" i="113" s="1"/>
  <c r="J42" i="114"/>
  <c r="J9" i="96"/>
  <c r="A34" i="108"/>
  <c r="G34" i="108" s="1"/>
  <c r="A26" i="108"/>
  <c r="D26" i="108" s="1"/>
  <c r="A19" i="108"/>
  <c r="D19" i="108" s="1"/>
  <c r="A35" i="109"/>
  <c r="J35" i="109" s="1"/>
  <c r="A27" i="109"/>
  <c r="J27" i="109" s="1"/>
  <c r="A20" i="109"/>
  <c r="D20" i="109" s="1"/>
  <c r="A35" i="110"/>
  <c r="G35" i="110" s="1"/>
  <c r="A27" i="110"/>
  <c r="J27" i="110" s="1"/>
  <c r="A21" i="110"/>
  <c r="J21" i="110" s="1"/>
  <c r="A36" i="114"/>
  <c r="J36" i="114" s="1"/>
  <c r="A28" i="114"/>
  <c r="D28" i="114" s="1"/>
  <c r="A21" i="114"/>
  <c r="D21" i="114" s="1"/>
  <c r="A34" i="113"/>
  <c r="D34" i="113" s="1"/>
  <c r="A31" i="112"/>
  <c r="A24" i="112"/>
  <c r="D24" i="112" s="1"/>
  <c r="A17" i="112"/>
  <c r="J17" i="112" s="1"/>
  <c r="A22" i="113"/>
  <c r="J22" i="113" s="1"/>
  <c r="A16" i="113"/>
  <c r="J16" i="113" s="1"/>
  <c r="I20" i="104"/>
  <c r="K23" i="104"/>
  <c r="J4" i="72"/>
  <c r="Q4" i="118"/>
  <c r="K39" i="104"/>
  <c r="I51" i="104"/>
  <c r="J51" i="104"/>
  <c r="H38" i="104"/>
  <c r="J33" i="104"/>
  <c r="H8" i="104"/>
  <c r="J20" i="104"/>
  <c r="I33" i="104"/>
  <c r="I6" i="104"/>
  <c r="H21" i="104"/>
  <c r="E23" i="105"/>
  <c r="K24" i="104"/>
  <c r="J36" i="104"/>
  <c r="J11" i="104"/>
  <c r="I21" i="104"/>
  <c r="H41" i="104"/>
  <c r="H12" i="104"/>
  <c r="K42" i="104"/>
  <c r="J21" i="104"/>
  <c r="I36" i="104"/>
  <c r="I11" i="104"/>
  <c r="H23" i="104"/>
  <c r="F23" i="105"/>
  <c r="K48" i="104"/>
  <c r="K38" i="104"/>
  <c r="K18" i="104"/>
  <c r="J45" i="104"/>
  <c r="J32" i="104"/>
  <c r="J15" i="104"/>
  <c r="I45" i="104"/>
  <c r="I32" i="104"/>
  <c r="I15" i="104"/>
  <c r="H47" i="104"/>
  <c r="H33" i="104"/>
  <c r="H17" i="104"/>
  <c r="K6" i="104"/>
  <c r="J7" i="104"/>
  <c r="K47" i="104"/>
  <c r="K30" i="104"/>
  <c r="J44" i="104"/>
  <c r="J27" i="104"/>
  <c r="J12" i="104"/>
  <c r="I44" i="104"/>
  <c r="I27" i="104"/>
  <c r="I12" i="104"/>
  <c r="H45" i="104"/>
  <c r="H29" i="104"/>
  <c r="J8" i="104"/>
  <c r="J3" i="119"/>
  <c r="D20" i="105"/>
  <c r="G22" i="105"/>
  <c r="J4" i="94"/>
  <c r="G28" i="105"/>
  <c r="F29" i="105"/>
  <c r="E29" i="105"/>
  <c r="D26" i="105"/>
  <c r="G4" i="104"/>
  <c r="AA3" i="90"/>
  <c r="K41" i="104"/>
  <c r="K29" i="104"/>
  <c r="K17" i="104"/>
  <c r="J50" i="104"/>
  <c r="J35" i="104"/>
  <c r="J26" i="104"/>
  <c r="J14" i="104"/>
  <c r="I50" i="104"/>
  <c r="I35" i="104"/>
  <c r="I26" i="104"/>
  <c r="I14" i="104"/>
  <c r="H51" i="104"/>
  <c r="H36" i="104"/>
  <c r="H27" i="104"/>
  <c r="H15" i="104"/>
  <c r="H6" i="104"/>
  <c r="D50" i="105"/>
  <c r="D7" i="105"/>
  <c r="K7" i="104"/>
  <c r="G46" i="105"/>
  <c r="F47" i="105"/>
  <c r="E47" i="105"/>
  <c r="D44" i="105"/>
  <c r="F5" i="105"/>
  <c r="K50" i="104"/>
  <c r="K44" i="104"/>
  <c r="K35" i="104"/>
  <c r="K32" i="104"/>
  <c r="K26" i="104"/>
  <c r="K20" i="104"/>
  <c r="K14" i="104"/>
  <c r="K8" i="104"/>
  <c r="J47" i="104"/>
  <c r="J41" i="104"/>
  <c r="J38" i="104"/>
  <c r="J29" i="104"/>
  <c r="J23" i="104"/>
  <c r="J17" i="104"/>
  <c r="J6" i="104"/>
  <c r="I47" i="104"/>
  <c r="I41" i="104"/>
  <c r="I38" i="104"/>
  <c r="I29" i="104"/>
  <c r="I23" i="104"/>
  <c r="I17" i="104"/>
  <c r="I8" i="104"/>
  <c r="H48" i="104"/>
  <c r="H42" i="104"/>
  <c r="H39" i="104"/>
  <c r="H30" i="104"/>
  <c r="H24" i="104"/>
  <c r="H18" i="104"/>
  <c r="G34" i="105"/>
  <c r="F35" i="105"/>
  <c r="E35" i="105"/>
  <c r="D32" i="105"/>
  <c r="D11" i="105"/>
  <c r="E6" i="105"/>
  <c r="J3" i="72"/>
  <c r="AG3" i="101"/>
  <c r="K45" i="104"/>
  <c r="K36" i="104"/>
  <c r="K33" i="104"/>
  <c r="K27" i="104"/>
  <c r="K21" i="104"/>
  <c r="K15" i="104"/>
  <c r="K12" i="104"/>
  <c r="J48" i="104"/>
  <c r="J42" i="104"/>
  <c r="J39" i="104"/>
  <c r="J30" i="104"/>
  <c r="J24" i="104"/>
  <c r="J18" i="104"/>
  <c r="I48" i="104"/>
  <c r="I42" i="104"/>
  <c r="I39" i="104"/>
  <c r="I30" i="104"/>
  <c r="I24" i="104"/>
  <c r="I18" i="104"/>
  <c r="H50" i="104"/>
  <c r="H44" i="104"/>
  <c r="H35" i="104"/>
  <c r="H32" i="104"/>
  <c r="H26" i="104"/>
  <c r="H20" i="104"/>
  <c r="H14" i="104"/>
  <c r="H11" i="104"/>
  <c r="K11" i="104"/>
  <c r="K51" i="104"/>
  <c r="G40" i="105"/>
  <c r="G16" i="105"/>
  <c r="F41" i="105"/>
  <c r="F17" i="105"/>
  <c r="E41" i="105"/>
  <c r="E17" i="105"/>
  <c r="D38" i="105"/>
  <c r="D14" i="105"/>
  <c r="J3" i="117"/>
  <c r="H7" i="104"/>
  <c r="Q4" i="96"/>
  <c r="B47" i="78"/>
  <c r="N47" i="78" s="1"/>
  <c r="O4" i="78"/>
  <c r="A38" i="78"/>
  <c r="W38" i="78" s="1"/>
  <c r="A66" i="78"/>
  <c r="AB66" i="78" s="1"/>
  <c r="Q9" i="72"/>
  <c r="A23" i="78"/>
  <c r="G23" i="78" s="1"/>
  <c r="A41" i="78"/>
  <c r="X41" i="78" s="1"/>
  <c r="A65" i="90"/>
  <c r="A21" i="96"/>
  <c r="V21" i="96" s="1"/>
  <c r="A19" i="96"/>
  <c r="V19" i="96" s="1"/>
  <c r="A23" i="107"/>
  <c r="D23" i="107" s="1"/>
  <c r="A24" i="107"/>
  <c r="J24" i="107" s="1"/>
  <c r="A29" i="107"/>
  <c r="J29" i="107" s="1"/>
  <c r="A30" i="107"/>
  <c r="D30" i="107" s="1"/>
  <c r="A33" i="108"/>
  <c r="D33" i="108" s="1"/>
  <c r="A27" i="108"/>
  <c r="J27" i="108" s="1"/>
  <c r="A22" i="108"/>
  <c r="J22" i="108" s="1"/>
  <c r="A17" i="108"/>
  <c r="G17" i="108" s="1"/>
  <c r="A33" i="109"/>
  <c r="J33" i="109" s="1"/>
  <c r="A28" i="109"/>
  <c r="A23" i="109"/>
  <c r="J23" i="109" s="1"/>
  <c r="A17" i="109"/>
  <c r="G17" i="109" s="1"/>
  <c r="A34" i="110"/>
  <c r="J34" i="110" s="1"/>
  <c r="A29" i="110"/>
  <c r="G29" i="110" s="1"/>
  <c r="A23" i="110"/>
  <c r="J23" i="110" s="1"/>
  <c r="A18" i="110"/>
  <c r="J18" i="110" s="1"/>
  <c r="A35" i="114"/>
  <c r="G35" i="114" s="1"/>
  <c r="A29" i="114"/>
  <c r="J29" i="114" s="1"/>
  <c r="A24" i="114"/>
  <c r="G24" i="114" s="1"/>
  <c r="A37" i="112"/>
  <c r="J37" i="112" s="1"/>
  <c r="A32" i="112"/>
  <c r="J32" i="112" s="1"/>
  <c r="A27" i="112"/>
  <c r="A21" i="112"/>
  <c r="D21" i="112" s="1"/>
  <c r="A16" i="112"/>
  <c r="J16" i="112" s="1"/>
  <c r="A24" i="113"/>
  <c r="A18" i="113"/>
  <c r="J18" i="113" s="1"/>
  <c r="A28" i="113"/>
  <c r="J28" i="113" s="1"/>
  <c r="A55" i="78"/>
  <c r="AN55" i="78" s="1"/>
  <c r="A65" i="78"/>
  <c r="P65" i="78" s="1"/>
  <c r="A30" i="78"/>
  <c r="A30" i="90"/>
  <c r="A35" i="102"/>
  <c r="AJ35" i="102" s="1"/>
  <c r="AK35" i="102" s="1"/>
  <c r="G42" i="108"/>
  <c r="A34" i="101"/>
  <c r="A18" i="72"/>
  <c r="U18" i="72" s="1"/>
  <c r="A37" i="72"/>
  <c r="U37" i="72" s="1"/>
  <c r="A19" i="72"/>
  <c r="G19" i="72" s="1"/>
  <c r="A33" i="90"/>
  <c r="A60" i="90"/>
  <c r="A24" i="72"/>
  <c r="G24" i="72" s="1"/>
  <c r="A20" i="72"/>
  <c r="A23" i="72"/>
  <c r="O23" i="72" s="1"/>
  <c r="AM9" i="78"/>
  <c r="A68" i="78"/>
  <c r="AI68" i="78" s="1"/>
  <c r="A24" i="78"/>
  <c r="AH24" i="78" s="1"/>
  <c r="A71" i="78"/>
  <c r="S71" i="78" s="1"/>
  <c r="A36" i="90"/>
  <c r="A57" i="90"/>
  <c r="A25" i="102"/>
  <c r="X25" i="102" s="1"/>
  <c r="Y25" i="102" s="1"/>
  <c r="J42" i="110"/>
  <c r="A38" i="108"/>
  <c r="J38" i="108" s="1"/>
  <c r="A36" i="72"/>
  <c r="O36" i="72" s="1"/>
  <c r="A21" i="90"/>
  <c r="A39" i="90"/>
  <c r="O4" i="102"/>
  <c r="R4" i="101"/>
  <c r="AA4" i="102"/>
  <c r="Q4" i="117"/>
  <c r="AG4" i="99"/>
  <c r="AA4" i="78"/>
  <c r="AA4" i="90"/>
  <c r="Q4" i="33"/>
  <c r="O4" i="90"/>
  <c r="Q4" i="119"/>
  <c r="AM4" i="90"/>
  <c r="A32" i="99"/>
  <c r="AC32" i="99" s="1"/>
  <c r="R9" i="99"/>
  <c r="A29" i="72"/>
  <c r="A25" i="72"/>
  <c r="O25" i="72" s="1"/>
  <c r="A31" i="72"/>
  <c r="G31" i="72" s="1"/>
  <c r="J9" i="94"/>
  <c r="A22" i="96"/>
  <c r="N22" i="96" s="1"/>
  <c r="A23" i="96"/>
  <c r="G23" i="96" s="1"/>
  <c r="A37" i="99"/>
  <c r="AK37" i="99" s="1"/>
  <c r="A34" i="99"/>
  <c r="AA34" i="99" s="1"/>
  <c r="AB34" i="99" s="1"/>
  <c r="A20" i="99"/>
  <c r="A24" i="101"/>
  <c r="G24" i="101" s="1"/>
  <c r="A38" i="117"/>
  <c r="A73" i="117"/>
  <c r="G73" i="117" s="1"/>
  <c r="A102" i="117"/>
  <c r="V102" i="117" s="1"/>
  <c r="A31" i="99"/>
  <c r="S31" i="99" s="1"/>
  <c r="A28" i="99"/>
  <c r="N28" i="99" s="1"/>
  <c r="A17" i="99"/>
  <c r="N17" i="99" s="1"/>
  <c r="A35" i="99"/>
  <c r="AK35" i="99" s="1"/>
  <c r="A29" i="99"/>
  <c r="AR29" i="99" s="1"/>
  <c r="A24" i="99"/>
  <c r="AS24" i="99" s="1"/>
  <c r="AT24" i="99" s="1"/>
  <c r="A19" i="99"/>
  <c r="A18" i="99"/>
  <c r="D18" i="99" s="1"/>
  <c r="A86" i="117"/>
  <c r="G86" i="117" s="1"/>
  <c r="J9" i="33"/>
  <c r="A18" i="94"/>
  <c r="N18" i="94" s="1"/>
  <c r="AG9" i="101"/>
  <c r="A26" i="102"/>
  <c r="S26" i="102" s="1"/>
  <c r="A31" i="117"/>
  <c r="A64" i="117"/>
  <c r="N64" i="117" s="1"/>
  <c r="A58" i="117"/>
  <c r="V58" i="117" s="1"/>
  <c r="A88" i="117"/>
  <c r="A16" i="72"/>
  <c r="H16" i="72" s="1"/>
  <c r="A17" i="72"/>
  <c r="O17" i="72" s="1"/>
  <c r="A26" i="72"/>
  <c r="G26" i="72" s="1"/>
  <c r="A30" i="72"/>
  <c r="N30" i="72" s="1"/>
  <c r="A35" i="72"/>
  <c r="O35" i="72" s="1"/>
  <c r="A38" i="72"/>
  <c r="V38" i="72" s="1"/>
  <c r="A20" i="94"/>
  <c r="O20" i="94" s="1"/>
  <c r="A20" i="96"/>
  <c r="A30" i="96"/>
  <c r="G30" i="96" s="1"/>
  <c r="A33" i="99"/>
  <c r="J33" i="99" s="1"/>
  <c r="A26" i="99"/>
  <c r="Z26" i="99" s="1"/>
  <c r="A36" i="99"/>
  <c r="A25" i="99"/>
  <c r="K25" i="99" s="1"/>
  <c r="AG9" i="99"/>
  <c r="A21" i="99"/>
  <c r="AR21" i="99" s="1"/>
  <c r="A19" i="101"/>
  <c r="AH19" i="101" s="1"/>
  <c r="A18" i="101"/>
  <c r="AP18" i="101" s="1"/>
  <c r="AQ18" i="101" s="1"/>
  <c r="A38" i="109"/>
  <c r="D38" i="109" s="1"/>
  <c r="Q9" i="119"/>
  <c r="A32" i="94"/>
  <c r="H32" i="94" s="1"/>
  <c r="A36" i="118"/>
  <c r="A70" i="90"/>
  <c r="AA9" i="78"/>
  <c r="A37" i="78"/>
  <c r="AE37" i="78" s="1"/>
  <c r="A34" i="78"/>
  <c r="X34" i="78" s="1"/>
  <c r="Y34" i="78" s="1"/>
  <c r="A60" i="78"/>
  <c r="AI60" i="78" s="1"/>
  <c r="A19" i="78"/>
  <c r="AH19" i="78" s="1"/>
  <c r="A35" i="78"/>
  <c r="D35" i="78" s="1"/>
  <c r="A61" i="78"/>
  <c r="AJ61" i="78" s="1"/>
  <c r="AK61" i="78" s="1"/>
  <c r="A20" i="78"/>
  <c r="L20" i="78" s="1"/>
  <c r="A36" i="78"/>
  <c r="AJ36" i="78" s="1"/>
  <c r="AK36" i="78" s="1"/>
  <c r="A62" i="78"/>
  <c r="X62" i="78" s="1"/>
  <c r="Y62" i="78" s="1"/>
  <c r="A29" i="78"/>
  <c r="AB29" i="78" s="1"/>
  <c r="A67" i="78"/>
  <c r="J67" i="78" s="1"/>
  <c r="A33" i="78"/>
  <c r="AJ33" i="78" s="1"/>
  <c r="AK33" i="78" s="1"/>
  <c r="A19" i="90"/>
  <c r="A27" i="90"/>
  <c r="A32" i="90"/>
  <c r="A29" i="90"/>
  <c r="A40" i="90"/>
  <c r="A58" i="90"/>
  <c r="A55" i="90"/>
  <c r="A64" i="90"/>
  <c r="A69" i="90"/>
  <c r="A68" i="90"/>
  <c r="A20" i="90"/>
  <c r="A41" i="90"/>
  <c r="A27" i="94"/>
  <c r="N27" i="94" s="1"/>
  <c r="A25" i="94"/>
  <c r="A38" i="94"/>
  <c r="H38" i="94" s="1"/>
  <c r="A28" i="94"/>
  <c r="O28" i="94" s="1"/>
  <c r="A27" i="101"/>
  <c r="AK27" i="101" s="1"/>
  <c r="A25" i="101"/>
  <c r="AH25" i="101" s="1"/>
  <c r="A32" i="101"/>
  <c r="G32" i="101" s="1"/>
  <c r="AA9" i="102"/>
  <c r="A17" i="102"/>
  <c r="J17" i="102" s="1"/>
  <c r="A22" i="102"/>
  <c r="G22" i="102" s="1"/>
  <c r="A27" i="102"/>
  <c r="AJ27" i="102" s="1"/>
  <c r="AK27" i="102" s="1"/>
  <c r="A19" i="118"/>
  <c r="O19" i="118" s="1"/>
  <c r="A21" i="118"/>
  <c r="H21" i="118" s="1"/>
  <c r="A30" i="118"/>
  <c r="H30" i="118" s="1"/>
  <c r="A71" i="90"/>
  <c r="O9" i="90"/>
  <c r="A38" i="90"/>
  <c r="A32" i="72"/>
  <c r="V32" i="72" s="1"/>
  <c r="A33" i="72"/>
  <c r="U33" i="72" s="1"/>
  <c r="A34" i="72"/>
  <c r="H34" i="72" s="1"/>
  <c r="A22" i="72"/>
  <c r="G22" i="72" s="1"/>
  <c r="A27" i="72"/>
  <c r="N27" i="72" s="1"/>
  <c r="A22" i="78"/>
  <c r="A72" i="78"/>
  <c r="AI72" i="78" s="1"/>
  <c r="A27" i="78"/>
  <c r="AB27" i="78" s="1"/>
  <c r="A53" i="78"/>
  <c r="K53" i="78" s="1"/>
  <c r="A69" i="78"/>
  <c r="S69" i="78" s="1"/>
  <c r="A28" i="78"/>
  <c r="J28" i="78" s="1"/>
  <c r="A54" i="78"/>
  <c r="AI54" i="78" s="1"/>
  <c r="A70" i="78"/>
  <c r="S70" i="78" s="1"/>
  <c r="A59" i="78"/>
  <c r="AB59" i="78" s="1"/>
  <c r="A75" i="78"/>
  <c r="K75" i="78" s="1"/>
  <c r="A64" i="78"/>
  <c r="A34" i="90"/>
  <c r="A23" i="90"/>
  <c r="A37" i="90"/>
  <c r="A24" i="90"/>
  <c r="A31" i="90"/>
  <c r="A54" i="90"/>
  <c r="A62" i="90"/>
  <c r="A59" i="90"/>
  <c r="A66" i="90"/>
  <c r="A73" i="90"/>
  <c r="A72" i="90"/>
  <c r="AM9" i="90"/>
  <c r="A76" i="90"/>
  <c r="A29" i="94"/>
  <c r="V29" i="94" s="1"/>
  <c r="A33" i="94"/>
  <c r="G33" i="94" s="1"/>
  <c r="A24" i="94"/>
  <c r="G24" i="94" s="1"/>
  <c r="A34" i="94"/>
  <c r="O34" i="94" s="1"/>
  <c r="A32" i="96"/>
  <c r="V32" i="96" s="1"/>
  <c r="A37" i="96"/>
  <c r="U37" i="96" s="1"/>
  <c r="A38" i="96"/>
  <c r="O38" i="96" s="1"/>
  <c r="A18" i="96"/>
  <c r="N18" i="96" s="1"/>
  <c r="A35" i="96"/>
  <c r="U35" i="96" s="1"/>
  <c r="Q9" i="96"/>
  <c r="A36" i="96"/>
  <c r="G36" i="96" s="1"/>
  <c r="A23" i="99"/>
  <c r="AR23" i="99" s="1"/>
  <c r="A22" i="99"/>
  <c r="G22" i="99" s="1"/>
  <c r="A30" i="99"/>
  <c r="AO30" i="99" s="1"/>
  <c r="A38" i="99"/>
  <c r="G38" i="99" s="1"/>
  <c r="A27" i="99"/>
  <c r="S27" i="99" s="1"/>
  <c r="A39" i="99"/>
  <c r="A17" i="101"/>
  <c r="J17" i="101" s="1"/>
  <c r="R9" i="101"/>
  <c r="A22" i="101"/>
  <c r="A35" i="101"/>
  <c r="A20" i="102"/>
  <c r="A29" i="102"/>
  <c r="AM29" i="102" s="1"/>
  <c r="AN29" i="102" s="1"/>
  <c r="A38" i="102"/>
  <c r="A24" i="102"/>
  <c r="AI24" i="102" s="1"/>
  <c r="A28" i="118"/>
  <c r="O28" i="118" s="1"/>
  <c r="A18" i="118"/>
  <c r="H18" i="118" s="1"/>
  <c r="A35" i="118"/>
  <c r="H35" i="118" s="1"/>
  <c r="O9" i="78"/>
  <c r="A25" i="78"/>
  <c r="S25" i="78" s="1"/>
  <c r="A26" i="78"/>
  <c r="J26" i="78" s="1"/>
  <c r="A56" i="78"/>
  <c r="P78" i="78"/>
  <c r="A31" i="78"/>
  <c r="A57" i="78"/>
  <c r="AN57" i="78" s="1"/>
  <c r="A73" i="78"/>
  <c r="X73" i="78" s="1"/>
  <c r="A32" i="78"/>
  <c r="AI32" i="78" s="1"/>
  <c r="A58" i="78"/>
  <c r="A74" i="78"/>
  <c r="AH74" i="78" s="1"/>
  <c r="A63" i="78"/>
  <c r="A22" i="90"/>
  <c r="A25" i="90"/>
  <c r="A28" i="90"/>
  <c r="A26" i="90"/>
  <c r="A35" i="90"/>
  <c r="A56" i="90"/>
  <c r="A63" i="90"/>
  <c r="A61" i="90"/>
  <c r="A67" i="90"/>
  <c r="A75" i="90"/>
  <c r="A74" i="90"/>
  <c r="AA9" i="90"/>
  <c r="A23" i="94"/>
  <c r="U23" i="94" s="1"/>
  <c r="A19" i="94"/>
  <c r="O19" i="94" s="1"/>
  <c r="A37" i="94"/>
  <c r="G37" i="94" s="1"/>
  <c r="A26" i="94"/>
  <c r="A36" i="94"/>
  <c r="H36" i="94" s="1"/>
  <c r="A28" i="96"/>
  <c r="O28" i="96" s="1"/>
  <c r="A29" i="96"/>
  <c r="G29" i="96" s="1"/>
  <c r="A34" i="96"/>
  <c r="A31" i="96"/>
  <c r="O31" i="96" s="1"/>
  <c r="Q9" i="94"/>
  <c r="A23" i="101"/>
  <c r="G23" i="101" s="1"/>
  <c r="A21" i="101"/>
  <c r="A30" i="101"/>
  <c r="A38" i="101"/>
  <c r="AP38" i="101" s="1"/>
  <c r="A32" i="102"/>
  <c r="K32" i="102" s="1"/>
  <c r="A18" i="102"/>
  <c r="AJ18" i="102" s="1"/>
  <c r="A19" i="102"/>
  <c r="L19" i="102" s="1"/>
  <c r="M19" i="102" s="1"/>
  <c r="AM42" i="102"/>
  <c r="A22" i="117"/>
  <c r="U22" i="117" s="1"/>
  <c r="A28" i="117"/>
  <c r="O28" i="117" s="1"/>
  <c r="A57" i="117"/>
  <c r="G57" i="117" s="1"/>
  <c r="A93" i="117"/>
  <c r="U93" i="117" s="1"/>
  <c r="A27" i="118"/>
  <c r="O27" i="118" s="1"/>
  <c r="A37" i="118"/>
  <c r="A21" i="94"/>
  <c r="G21" i="94" s="1"/>
  <c r="A31" i="94"/>
  <c r="U31" i="94" s="1"/>
  <c r="A35" i="94"/>
  <c r="N35" i="94" s="1"/>
  <c r="A22" i="94"/>
  <c r="G22" i="94" s="1"/>
  <c r="A30" i="94"/>
  <c r="A24" i="96"/>
  <c r="N24" i="96" s="1"/>
  <c r="A33" i="96"/>
  <c r="G33" i="96" s="1"/>
  <c r="A17" i="96"/>
  <c r="A26" i="96"/>
  <c r="O26" i="96" s="1"/>
  <c r="A27" i="96"/>
  <c r="O27" i="96" s="1"/>
  <c r="A39" i="94"/>
  <c r="G39" i="94" s="1"/>
  <c r="A39" i="96"/>
  <c r="U39" i="96" s="1"/>
  <c r="A20" i="101"/>
  <c r="A28" i="101"/>
  <c r="Y28" i="101" s="1"/>
  <c r="A29" i="101"/>
  <c r="G29" i="101" s="1"/>
  <c r="A31" i="101"/>
  <c r="A36" i="101"/>
  <c r="AM9" i="102"/>
  <c r="A36" i="102"/>
  <c r="AL36" i="102" s="1"/>
  <c r="A33" i="102"/>
  <c r="G33" i="102" s="1"/>
  <c r="A34" i="102"/>
  <c r="V34" i="102" s="1"/>
  <c r="A37" i="101"/>
  <c r="L37" i="101" s="1"/>
  <c r="M37" i="101" s="1"/>
  <c r="A33" i="101"/>
  <c r="J33" i="101" s="1"/>
  <c r="A26" i="101"/>
  <c r="A39" i="102"/>
  <c r="W39" i="102" s="1"/>
  <c r="A23" i="102"/>
  <c r="A30" i="102"/>
  <c r="L30" i="102" s="1"/>
  <c r="M30" i="102" s="1"/>
  <c r="A37" i="102"/>
  <c r="W37" i="102" s="1"/>
  <c r="A21" i="102"/>
  <c r="AH21" i="102" s="1"/>
  <c r="A28" i="102"/>
  <c r="S28" i="102" s="1"/>
  <c r="O9" i="102"/>
  <c r="A18" i="107"/>
  <c r="D18" i="107" s="1"/>
  <c r="A34" i="107"/>
  <c r="G34" i="107" s="1"/>
  <c r="A25" i="107"/>
  <c r="A16" i="107"/>
  <c r="D16" i="107" s="1"/>
  <c r="A32" i="107"/>
  <c r="A27" i="107"/>
  <c r="G27" i="107" s="1"/>
  <c r="G112" i="117"/>
  <c r="A37" i="117"/>
  <c r="H37" i="117" s="1"/>
  <c r="A104" i="117"/>
  <c r="N104" i="117" s="1"/>
  <c r="A99" i="117"/>
  <c r="A90" i="117"/>
  <c r="H90" i="117" s="1"/>
  <c r="A106" i="117"/>
  <c r="U106" i="117" s="1"/>
  <c r="A97" i="117"/>
  <c r="N97" i="117" s="1"/>
  <c r="A62" i="117"/>
  <c r="G62" i="117" s="1"/>
  <c r="A61" i="117"/>
  <c r="V61" i="117" s="1"/>
  <c r="A52" i="117"/>
  <c r="H52" i="117" s="1"/>
  <c r="A68" i="117"/>
  <c r="V68" i="117" s="1"/>
  <c r="A63" i="117"/>
  <c r="H63" i="117" s="1"/>
  <c r="Q9" i="117"/>
  <c r="A32" i="117"/>
  <c r="A19" i="117"/>
  <c r="A35" i="117"/>
  <c r="N35" i="117" s="1"/>
  <c r="A26" i="117"/>
  <c r="V26" i="117" s="1"/>
  <c r="J9" i="117"/>
  <c r="A33" i="117"/>
  <c r="H33" i="117" s="1"/>
  <c r="A74" i="117"/>
  <c r="A40" i="117"/>
  <c r="H40" i="117" s="1"/>
  <c r="A92" i="117"/>
  <c r="N92" i="117" s="1"/>
  <c r="A87" i="117"/>
  <c r="O87" i="117" s="1"/>
  <c r="A103" i="117"/>
  <c r="U103" i="117" s="1"/>
  <c r="A94" i="117"/>
  <c r="O94" i="117" s="1"/>
  <c r="A101" i="117"/>
  <c r="N101" i="117" s="1"/>
  <c r="A66" i="117"/>
  <c r="G66" i="117" s="1"/>
  <c r="A54" i="117"/>
  <c r="A65" i="117"/>
  <c r="N65" i="117" s="1"/>
  <c r="A56" i="117"/>
  <c r="O56" i="117" s="1"/>
  <c r="A72" i="117"/>
  <c r="G72" i="117" s="1"/>
  <c r="A67" i="117"/>
  <c r="A20" i="117"/>
  <c r="V20" i="117" s="1"/>
  <c r="A36" i="117"/>
  <c r="N36" i="117" s="1"/>
  <c r="A23" i="117"/>
  <c r="N23" i="117" s="1"/>
  <c r="A39" i="117"/>
  <c r="G39" i="117" s="1"/>
  <c r="A30" i="117"/>
  <c r="U30" i="117" s="1"/>
  <c r="A21" i="117"/>
  <c r="V21" i="117" s="1"/>
  <c r="A108" i="117"/>
  <c r="V108" i="117" s="1"/>
  <c r="A96" i="117"/>
  <c r="V96" i="117" s="1"/>
  <c r="A91" i="117"/>
  <c r="A107" i="117"/>
  <c r="O107" i="117" s="1"/>
  <c r="A98" i="117"/>
  <c r="G98" i="117" s="1"/>
  <c r="A89" i="117"/>
  <c r="A105" i="117"/>
  <c r="A70" i="117"/>
  <c r="H70" i="117" s="1"/>
  <c r="A53" i="117"/>
  <c r="O53" i="117" s="1"/>
  <c r="A69" i="117"/>
  <c r="H69" i="117" s="1"/>
  <c r="A60" i="117"/>
  <c r="N60" i="117" s="1"/>
  <c r="A55" i="117"/>
  <c r="N55" i="117" s="1"/>
  <c r="A71" i="117"/>
  <c r="O71" i="117" s="1"/>
  <c r="A24" i="117"/>
  <c r="O24" i="117" s="1"/>
  <c r="A27" i="117"/>
  <c r="N27" i="117" s="1"/>
  <c r="A18" i="117"/>
  <c r="N18" i="117" s="1"/>
  <c r="A34" i="117"/>
  <c r="H34" i="117" s="1"/>
  <c r="A25" i="117"/>
  <c r="O25" i="117" s="1"/>
  <c r="A33" i="113"/>
  <c r="G33" i="113" s="1"/>
  <c r="A36" i="113"/>
  <c r="J36" i="113" s="1"/>
  <c r="A19" i="113"/>
  <c r="J19" i="113" s="1"/>
  <c r="A23" i="113"/>
  <c r="J23" i="113" s="1"/>
  <c r="A27" i="113"/>
  <c r="D27" i="113" s="1"/>
  <c r="A30" i="113"/>
  <c r="D30" i="113" s="1"/>
  <c r="A38" i="114"/>
  <c r="A18" i="114"/>
  <c r="A22" i="114"/>
  <c r="A26" i="114"/>
  <c r="G26" i="114" s="1"/>
  <c r="A30" i="114"/>
  <c r="A34" i="114"/>
  <c r="A29" i="117"/>
  <c r="O29" i="117" s="1"/>
  <c r="A59" i="117"/>
  <c r="U59" i="117" s="1"/>
  <c r="A100" i="117"/>
  <c r="H100" i="117" s="1"/>
  <c r="A36" i="108"/>
  <c r="A32" i="108"/>
  <c r="D32" i="108" s="1"/>
  <c r="A28" i="108"/>
  <c r="D28" i="108" s="1"/>
  <c r="A24" i="108"/>
  <c r="D24" i="108" s="1"/>
  <c r="A20" i="108"/>
  <c r="A34" i="109"/>
  <c r="G34" i="109" s="1"/>
  <c r="A30" i="109"/>
  <c r="J30" i="109" s="1"/>
  <c r="A26" i="109"/>
  <c r="A22" i="109"/>
  <c r="A36" i="110"/>
  <c r="A32" i="110"/>
  <c r="G32" i="110" s="1"/>
  <c r="A28" i="110"/>
  <c r="D28" i="110" s="1"/>
  <c r="A24" i="110"/>
  <c r="A20" i="110"/>
  <c r="J20" i="110" s="1"/>
  <c r="A16" i="110"/>
  <c r="A34" i="112"/>
  <c r="J34" i="112" s="1"/>
  <c r="A30" i="112"/>
  <c r="A26" i="112"/>
  <c r="J26" i="112" s="1"/>
  <c r="A22" i="112"/>
  <c r="J22" i="112" s="1"/>
  <c r="A18" i="112"/>
  <c r="J18" i="112" s="1"/>
  <c r="A31" i="118"/>
  <c r="H31" i="118" s="1"/>
  <c r="J9" i="118"/>
  <c r="A24" i="118"/>
  <c r="A33" i="118"/>
  <c r="O33" i="118" s="1"/>
  <c r="A17" i="118"/>
  <c r="Q9" i="118"/>
  <c r="A26" i="118"/>
  <c r="H26" i="118" s="1"/>
  <c r="A20" i="118"/>
  <c r="V20" i="118" s="1"/>
  <c r="A29" i="118"/>
  <c r="A23" i="118"/>
  <c r="O23" i="118" s="1"/>
  <c r="A32" i="118"/>
  <c r="V32" i="118" s="1"/>
  <c r="A16" i="118"/>
  <c r="A25" i="118"/>
  <c r="H25" i="118" s="1"/>
  <c r="A22" i="118"/>
  <c r="O22" i="118" s="1"/>
  <c r="A34" i="118"/>
  <c r="O34" i="118" s="1"/>
  <c r="A38" i="118"/>
  <c r="V38" i="118" s="1"/>
  <c r="D43" i="99"/>
  <c r="V43" i="99"/>
  <c r="O43" i="99"/>
  <c r="P43" i="99" s="1"/>
  <c r="Z43" i="99"/>
  <c r="V25" i="79"/>
  <c r="Z25" i="79"/>
  <c r="AD43" i="99"/>
  <c r="AE43" i="99" s="1"/>
  <c r="Y43" i="99"/>
  <c r="AP43" i="99"/>
  <c r="AQ43" i="99" s="1"/>
  <c r="AK43" i="99"/>
  <c r="K43" i="99"/>
  <c r="S43" i="99"/>
  <c r="L43" i="99"/>
  <c r="M43" i="99" s="1"/>
  <c r="N43" i="99"/>
  <c r="AN43" i="99"/>
  <c r="J43" i="99"/>
  <c r="AO43" i="99"/>
  <c r="D25" i="79"/>
  <c r="N43" i="94"/>
  <c r="H43" i="94"/>
  <c r="G43" i="96"/>
  <c r="N43" i="96"/>
  <c r="AR43" i="99"/>
  <c r="AC43" i="99"/>
  <c r="G43" i="99"/>
  <c r="AH43" i="99"/>
  <c r="AA43" i="99"/>
  <c r="AB43" i="99" s="1"/>
  <c r="H43" i="96"/>
  <c r="U43" i="96"/>
  <c r="V43" i="96"/>
  <c r="O43" i="96"/>
  <c r="U43" i="94"/>
  <c r="G43" i="94"/>
  <c r="O43" i="94"/>
  <c r="V43" i="94"/>
  <c r="H42" i="118"/>
  <c r="O42" i="118"/>
  <c r="R3" i="99"/>
  <c r="G44" i="105"/>
  <c r="G38" i="105"/>
  <c r="G32" i="105"/>
  <c r="G26" i="105"/>
  <c r="G20" i="105"/>
  <c r="G14" i="105"/>
  <c r="G11" i="105"/>
  <c r="G7" i="105"/>
  <c r="F46" i="105"/>
  <c r="F40" i="105"/>
  <c r="F34" i="105"/>
  <c r="F28" i="105"/>
  <c r="F22" i="105"/>
  <c r="F16" i="105"/>
  <c r="E46" i="105"/>
  <c r="E40" i="105"/>
  <c r="E34" i="105"/>
  <c r="E28" i="105"/>
  <c r="E22" i="105"/>
  <c r="E16" i="105"/>
  <c r="D49" i="105"/>
  <c r="D43" i="105"/>
  <c r="D37" i="105"/>
  <c r="D31" i="105"/>
  <c r="D25" i="105"/>
  <c r="D19" i="105"/>
  <c r="D13" i="105"/>
  <c r="D10" i="105"/>
  <c r="C11" i="130" s="1"/>
  <c r="D5" i="105"/>
  <c r="G50" i="105"/>
  <c r="J3" i="96"/>
  <c r="Q3" i="94"/>
  <c r="G49" i="105"/>
  <c r="G43" i="105"/>
  <c r="G37" i="105"/>
  <c r="G31" i="105"/>
  <c r="G25" i="105"/>
  <c r="G19" i="105"/>
  <c r="G13" i="105"/>
  <c r="G10" i="105"/>
  <c r="F50" i="105"/>
  <c r="F44" i="105"/>
  <c r="F38" i="105"/>
  <c r="F32" i="105"/>
  <c r="F26" i="105"/>
  <c r="F20" i="105"/>
  <c r="F14" i="105"/>
  <c r="F11" i="105"/>
  <c r="E50" i="105"/>
  <c r="E44" i="105"/>
  <c r="E38" i="105"/>
  <c r="E32" i="105"/>
  <c r="E26" i="105"/>
  <c r="E20" i="105"/>
  <c r="E14" i="105"/>
  <c r="E11" i="105"/>
  <c r="E7" i="105"/>
  <c r="D47" i="105"/>
  <c r="D41" i="105"/>
  <c r="D35" i="105"/>
  <c r="D29" i="105"/>
  <c r="D23" i="105"/>
  <c r="D17" i="105"/>
  <c r="G5" i="105"/>
  <c r="D6" i="105"/>
  <c r="G47" i="105"/>
  <c r="G41" i="105"/>
  <c r="G35" i="105"/>
  <c r="G29" i="105"/>
  <c r="G23" i="105"/>
  <c r="G17" i="105"/>
  <c r="F49" i="105"/>
  <c r="F43" i="105"/>
  <c r="F37" i="105"/>
  <c r="F31" i="105"/>
  <c r="F25" i="105"/>
  <c r="F19" i="105"/>
  <c r="F13" i="105"/>
  <c r="F10" i="105"/>
  <c r="E49" i="105"/>
  <c r="E43" i="105"/>
  <c r="E37" i="105"/>
  <c r="E31" i="105"/>
  <c r="E25" i="105"/>
  <c r="E19" i="105"/>
  <c r="E13" i="105"/>
  <c r="E10" i="105"/>
  <c r="E5" i="105"/>
  <c r="D46" i="105"/>
  <c r="D40" i="105"/>
  <c r="D34" i="105"/>
  <c r="D28" i="105"/>
  <c r="D22" i="105"/>
  <c r="D16" i="105"/>
  <c r="F7" i="105"/>
  <c r="F6" i="105"/>
  <c r="Q3" i="33"/>
  <c r="AA3" i="78"/>
  <c r="O3" i="78"/>
  <c r="AM3" i="90"/>
  <c r="B48" i="90"/>
  <c r="O3" i="102"/>
  <c r="AA3" i="102"/>
  <c r="Q3" i="118"/>
  <c r="U63" i="90" l="1"/>
  <c r="AA63" i="90"/>
  <c r="C63" i="90"/>
  <c r="I63" i="90"/>
  <c r="R63" i="90"/>
  <c r="O63" i="90"/>
  <c r="F63" i="90"/>
  <c r="AM63" i="90"/>
  <c r="AG63" i="90"/>
  <c r="AD63" i="90"/>
  <c r="AG32" i="90"/>
  <c r="I32" i="90"/>
  <c r="U32" i="90"/>
  <c r="F32" i="90"/>
  <c r="AM32" i="90"/>
  <c r="C32" i="90"/>
  <c r="AD32" i="90"/>
  <c r="AA32" i="90"/>
  <c r="R32" i="90"/>
  <c r="O32" i="90"/>
  <c r="AM56" i="90"/>
  <c r="O56" i="90"/>
  <c r="R56" i="90"/>
  <c r="AG56" i="90"/>
  <c r="C56" i="90"/>
  <c r="F56" i="90"/>
  <c r="AD56" i="90"/>
  <c r="AA56" i="90"/>
  <c r="U56" i="90"/>
  <c r="I56" i="90"/>
  <c r="U72" i="90"/>
  <c r="AA72" i="90"/>
  <c r="C72" i="90"/>
  <c r="I72" i="90"/>
  <c r="AM72" i="90"/>
  <c r="F72" i="90"/>
  <c r="AD72" i="90"/>
  <c r="R72" i="90"/>
  <c r="O72" i="90"/>
  <c r="AG72" i="90"/>
  <c r="AA31" i="90"/>
  <c r="C31" i="90"/>
  <c r="AG31" i="90"/>
  <c r="F31" i="90"/>
  <c r="O31" i="90"/>
  <c r="I31" i="90"/>
  <c r="AM31" i="90"/>
  <c r="AD31" i="90"/>
  <c r="U31" i="90"/>
  <c r="R31" i="90"/>
  <c r="AD64" i="90"/>
  <c r="F64" i="90"/>
  <c r="AG64" i="90"/>
  <c r="I64" i="90"/>
  <c r="C64" i="90"/>
  <c r="AM64" i="90"/>
  <c r="U64" i="90"/>
  <c r="R64" i="90"/>
  <c r="O64" i="90"/>
  <c r="AA64" i="90"/>
  <c r="R27" i="90"/>
  <c r="U27" i="90"/>
  <c r="AG27" i="90"/>
  <c r="AD27" i="90"/>
  <c r="AA27" i="90"/>
  <c r="O27" i="90"/>
  <c r="I27" i="90"/>
  <c r="AM27" i="90"/>
  <c r="F27" i="90"/>
  <c r="C27" i="90"/>
  <c r="R33" i="90"/>
  <c r="AM33" i="90"/>
  <c r="I33" i="90"/>
  <c r="AG33" i="90"/>
  <c r="C33" i="90"/>
  <c r="AD33" i="90"/>
  <c r="AA33" i="90"/>
  <c r="U33" i="90"/>
  <c r="O33" i="90"/>
  <c r="F33" i="90"/>
  <c r="AA22" i="90"/>
  <c r="C22" i="90"/>
  <c r="R22" i="90"/>
  <c r="AD22" i="90"/>
  <c r="U22" i="90"/>
  <c r="O22" i="90"/>
  <c r="I22" i="90"/>
  <c r="AM22" i="90"/>
  <c r="F22" i="90"/>
  <c r="AG22" i="90"/>
  <c r="U43" i="90"/>
  <c r="AA43" i="90"/>
  <c r="C43" i="90"/>
  <c r="R43" i="90"/>
  <c r="AD43" i="90"/>
  <c r="O43" i="90"/>
  <c r="I43" i="90"/>
  <c r="F43" i="90"/>
  <c r="AM43" i="90"/>
  <c r="AG43" i="90"/>
  <c r="AD79" i="90"/>
  <c r="F79" i="90"/>
  <c r="AG79" i="90"/>
  <c r="I79" i="90"/>
  <c r="R79" i="90"/>
  <c r="O79" i="90"/>
  <c r="U79" i="90"/>
  <c r="C79" i="90"/>
  <c r="AM79" i="90"/>
  <c r="AA79" i="90"/>
  <c r="AM74" i="90"/>
  <c r="O74" i="90"/>
  <c r="R74" i="90"/>
  <c r="AG74" i="90"/>
  <c r="C74" i="90"/>
  <c r="AD74" i="90"/>
  <c r="F74" i="90"/>
  <c r="AA74" i="90"/>
  <c r="U74" i="90"/>
  <c r="I74" i="90"/>
  <c r="AG35" i="90"/>
  <c r="I35" i="90"/>
  <c r="R35" i="90"/>
  <c r="AD35" i="90"/>
  <c r="AA35" i="90"/>
  <c r="U35" i="90"/>
  <c r="O35" i="90"/>
  <c r="F35" i="90"/>
  <c r="AM35" i="90"/>
  <c r="C35" i="90"/>
  <c r="AD73" i="90"/>
  <c r="F73" i="90"/>
  <c r="AG73" i="90"/>
  <c r="I73" i="90"/>
  <c r="C73" i="90"/>
  <c r="AM73" i="90"/>
  <c r="AA73" i="90"/>
  <c r="U73" i="90"/>
  <c r="R73" i="90"/>
  <c r="O73" i="90"/>
  <c r="R24" i="90"/>
  <c r="AA24" i="90"/>
  <c r="O24" i="90"/>
  <c r="I24" i="90"/>
  <c r="AM24" i="90"/>
  <c r="F24" i="90"/>
  <c r="AG24" i="90"/>
  <c r="C24" i="90"/>
  <c r="AD24" i="90"/>
  <c r="U24" i="90"/>
  <c r="AD55" i="90"/>
  <c r="F55" i="90"/>
  <c r="AG55" i="90"/>
  <c r="I55" i="90"/>
  <c r="C55" i="90"/>
  <c r="AM55" i="90"/>
  <c r="AA55" i="90"/>
  <c r="U55" i="90"/>
  <c r="R55" i="90"/>
  <c r="O55" i="90"/>
  <c r="AM19" i="90"/>
  <c r="O19" i="90"/>
  <c r="AA19" i="90"/>
  <c r="U19" i="90"/>
  <c r="R19" i="90"/>
  <c r="I19" i="90"/>
  <c r="AG19" i="90"/>
  <c r="F19" i="90"/>
  <c r="AD19" i="90"/>
  <c r="C19" i="90"/>
  <c r="R30" i="90"/>
  <c r="O30" i="90"/>
  <c r="U30" i="90"/>
  <c r="I30" i="90"/>
  <c r="AM30" i="90"/>
  <c r="F30" i="90"/>
  <c r="AG30" i="90"/>
  <c r="C30" i="90"/>
  <c r="AD30" i="90"/>
  <c r="AA30" i="90"/>
  <c r="U54" i="90"/>
  <c r="AA54" i="90"/>
  <c r="C54" i="90"/>
  <c r="I54" i="90"/>
  <c r="AG54" i="90"/>
  <c r="AD54" i="90"/>
  <c r="R54" i="90"/>
  <c r="O54" i="90"/>
  <c r="F54" i="90"/>
  <c r="AM54" i="90"/>
  <c r="U75" i="90"/>
  <c r="AA75" i="90"/>
  <c r="C75" i="90"/>
  <c r="AG75" i="90"/>
  <c r="AD75" i="90"/>
  <c r="R75" i="90"/>
  <c r="O75" i="90"/>
  <c r="I75" i="90"/>
  <c r="F75" i="90"/>
  <c r="AM75" i="90"/>
  <c r="AG26" i="90"/>
  <c r="I26" i="90"/>
  <c r="AD26" i="90"/>
  <c r="C26" i="90"/>
  <c r="F26" i="90"/>
  <c r="AM26" i="90"/>
  <c r="AA26" i="90"/>
  <c r="U26" i="90"/>
  <c r="R26" i="90"/>
  <c r="O26" i="90"/>
  <c r="U66" i="90"/>
  <c r="AA66" i="90"/>
  <c r="C66" i="90"/>
  <c r="AG66" i="90"/>
  <c r="AD66" i="90"/>
  <c r="F66" i="90"/>
  <c r="AM66" i="90"/>
  <c r="R66" i="90"/>
  <c r="O66" i="90"/>
  <c r="I66" i="90"/>
  <c r="AA37" i="90"/>
  <c r="C37" i="90"/>
  <c r="U37" i="90"/>
  <c r="O37" i="90"/>
  <c r="I37" i="90"/>
  <c r="AM37" i="90"/>
  <c r="F37" i="90"/>
  <c r="AG37" i="90"/>
  <c r="AD37" i="90"/>
  <c r="R37" i="90"/>
  <c r="AG41" i="90"/>
  <c r="I41" i="90"/>
  <c r="AM41" i="90"/>
  <c r="F41" i="90"/>
  <c r="AA41" i="90"/>
  <c r="U41" i="90"/>
  <c r="R41" i="90"/>
  <c r="O41" i="90"/>
  <c r="C41" i="90"/>
  <c r="AD41" i="90"/>
  <c r="AD58" i="90"/>
  <c r="F58" i="90"/>
  <c r="AG58" i="90"/>
  <c r="I58" i="90"/>
  <c r="AA58" i="90"/>
  <c r="C58" i="90"/>
  <c r="AM58" i="90"/>
  <c r="U58" i="90"/>
  <c r="R58" i="90"/>
  <c r="O58" i="90"/>
  <c r="R39" i="90"/>
  <c r="AD39" i="90"/>
  <c r="C39" i="90"/>
  <c r="AM39" i="90"/>
  <c r="F39" i="90"/>
  <c r="AG39" i="90"/>
  <c r="AA39" i="90"/>
  <c r="U39" i="90"/>
  <c r="O39" i="90"/>
  <c r="I39" i="90"/>
  <c r="U57" i="90"/>
  <c r="AA57" i="90"/>
  <c r="C57" i="90"/>
  <c r="AG57" i="90"/>
  <c r="F57" i="90"/>
  <c r="AM57" i="90"/>
  <c r="AD57" i="90"/>
  <c r="R57" i="90"/>
  <c r="O57" i="90"/>
  <c r="I57" i="90"/>
  <c r="U78" i="90"/>
  <c r="AA78" i="90"/>
  <c r="C78" i="90"/>
  <c r="R78" i="90"/>
  <c r="O78" i="90"/>
  <c r="F78" i="90"/>
  <c r="AM78" i="90"/>
  <c r="AG78" i="90"/>
  <c r="AD78" i="90"/>
  <c r="I78" i="90"/>
  <c r="U69" i="90"/>
  <c r="AA69" i="90"/>
  <c r="C69" i="90"/>
  <c r="R69" i="90"/>
  <c r="O69" i="90"/>
  <c r="AM69" i="90"/>
  <c r="AG69" i="90"/>
  <c r="AD69" i="90"/>
  <c r="I69" i="90"/>
  <c r="F69" i="90"/>
  <c r="AD67" i="90"/>
  <c r="F67" i="90"/>
  <c r="AG67" i="90"/>
  <c r="I67" i="90"/>
  <c r="AA67" i="90"/>
  <c r="U67" i="90"/>
  <c r="O67" i="90"/>
  <c r="C67" i="90"/>
  <c r="AM67" i="90"/>
  <c r="R67" i="90"/>
  <c r="AA28" i="90"/>
  <c r="C28" i="90"/>
  <c r="AM28" i="90"/>
  <c r="I28" i="90"/>
  <c r="AD28" i="90"/>
  <c r="U28" i="90"/>
  <c r="R28" i="90"/>
  <c r="O28" i="90"/>
  <c r="F28" i="90"/>
  <c r="AG28" i="90"/>
  <c r="AM59" i="90"/>
  <c r="O59" i="90"/>
  <c r="R59" i="90"/>
  <c r="AA59" i="90"/>
  <c r="F59" i="90"/>
  <c r="C59" i="90"/>
  <c r="AG59" i="90"/>
  <c r="AD59" i="90"/>
  <c r="U59" i="90"/>
  <c r="I59" i="90"/>
  <c r="AG23" i="90"/>
  <c r="I23" i="90"/>
  <c r="AM23" i="90"/>
  <c r="F23" i="90"/>
  <c r="U23" i="90"/>
  <c r="R23" i="90"/>
  <c r="O23" i="90"/>
  <c r="C23" i="90"/>
  <c r="AD23" i="90"/>
  <c r="AA23" i="90"/>
  <c r="AG38" i="90"/>
  <c r="I38" i="90"/>
  <c r="O38" i="90"/>
  <c r="F38" i="90"/>
  <c r="AM38" i="90"/>
  <c r="C38" i="90"/>
  <c r="AD38" i="90"/>
  <c r="AA38" i="90"/>
  <c r="U38" i="90"/>
  <c r="R38" i="90"/>
  <c r="U20" i="90"/>
  <c r="AM20" i="90"/>
  <c r="I20" i="90"/>
  <c r="AG20" i="90"/>
  <c r="F20" i="90"/>
  <c r="AD20" i="90"/>
  <c r="C20" i="90"/>
  <c r="AA20" i="90"/>
  <c r="R20" i="90"/>
  <c r="O20" i="90"/>
  <c r="AA40" i="90"/>
  <c r="C40" i="90"/>
  <c r="R40" i="90"/>
  <c r="AG40" i="90"/>
  <c r="AD40" i="90"/>
  <c r="U40" i="90"/>
  <c r="O40" i="90"/>
  <c r="I40" i="90"/>
  <c r="AM40" i="90"/>
  <c r="F40" i="90"/>
  <c r="AD70" i="90"/>
  <c r="F70" i="90"/>
  <c r="AG70" i="90"/>
  <c r="I70" i="90"/>
  <c r="R70" i="90"/>
  <c r="O70" i="90"/>
  <c r="AM70" i="90"/>
  <c r="AA70" i="90"/>
  <c r="U70" i="90"/>
  <c r="C70" i="90"/>
  <c r="AD21" i="90"/>
  <c r="F21" i="90"/>
  <c r="AG21" i="90"/>
  <c r="C21" i="90"/>
  <c r="AA21" i="90"/>
  <c r="U21" i="90"/>
  <c r="R21" i="90"/>
  <c r="O21" i="90"/>
  <c r="AM21" i="90"/>
  <c r="I21" i="90"/>
  <c r="R36" i="90"/>
  <c r="AG36" i="90"/>
  <c r="F36" i="90"/>
  <c r="U36" i="90"/>
  <c r="O36" i="90"/>
  <c r="I36" i="90"/>
  <c r="AM36" i="90"/>
  <c r="C36" i="90"/>
  <c r="AD36" i="90"/>
  <c r="AA36" i="90"/>
  <c r="AD44" i="90"/>
  <c r="F44" i="90"/>
  <c r="AG44" i="90"/>
  <c r="I44" i="90"/>
  <c r="R44" i="90"/>
  <c r="AA44" i="90"/>
  <c r="U44" i="90"/>
  <c r="O44" i="90"/>
  <c r="C44" i="90"/>
  <c r="AM44" i="90"/>
  <c r="AM71" i="90"/>
  <c r="O71" i="90"/>
  <c r="R71" i="90"/>
  <c r="I71" i="90"/>
  <c r="F71" i="90"/>
  <c r="U71" i="90"/>
  <c r="C71" i="90"/>
  <c r="AG71" i="90"/>
  <c r="AD71" i="90"/>
  <c r="AA71" i="90"/>
  <c r="U60" i="90"/>
  <c r="AA60" i="90"/>
  <c r="C60" i="90"/>
  <c r="R60" i="90"/>
  <c r="I60" i="90"/>
  <c r="F60" i="90"/>
  <c r="AM60" i="90"/>
  <c r="AG60" i="90"/>
  <c r="AD60" i="90"/>
  <c r="O60" i="90"/>
  <c r="AM77" i="90"/>
  <c r="O77" i="90"/>
  <c r="R77" i="90"/>
  <c r="AA77" i="90"/>
  <c r="U77" i="90"/>
  <c r="AG77" i="90"/>
  <c r="AD77" i="90"/>
  <c r="I77" i="90"/>
  <c r="F77" i="90"/>
  <c r="C77" i="90"/>
  <c r="AD61" i="90"/>
  <c r="F61" i="90"/>
  <c r="AG61" i="90"/>
  <c r="I61" i="90"/>
  <c r="R61" i="90"/>
  <c r="O61" i="90"/>
  <c r="C61" i="90"/>
  <c r="AM61" i="90"/>
  <c r="AA61" i="90"/>
  <c r="U61" i="90"/>
  <c r="AA25" i="90"/>
  <c r="C25" i="90"/>
  <c r="O25" i="90"/>
  <c r="R25" i="90"/>
  <c r="I25" i="90"/>
  <c r="AM25" i="90"/>
  <c r="F25" i="90"/>
  <c r="AG25" i="90"/>
  <c r="AD25" i="90"/>
  <c r="U25" i="90"/>
  <c r="AD76" i="90"/>
  <c r="F76" i="90"/>
  <c r="AG76" i="90"/>
  <c r="I76" i="90"/>
  <c r="AA76" i="90"/>
  <c r="U76" i="90"/>
  <c r="AM76" i="90"/>
  <c r="R76" i="90"/>
  <c r="O76" i="90"/>
  <c r="C76" i="90"/>
  <c r="AM62" i="90"/>
  <c r="O62" i="90"/>
  <c r="R62" i="90"/>
  <c r="I62" i="90"/>
  <c r="U62" i="90"/>
  <c r="F62" i="90"/>
  <c r="C62" i="90"/>
  <c r="AG62" i="90"/>
  <c r="AD62" i="90"/>
  <c r="AA62" i="90"/>
  <c r="AA34" i="90"/>
  <c r="C34" i="90"/>
  <c r="AD34" i="90"/>
  <c r="AG34" i="90"/>
  <c r="U34" i="90"/>
  <c r="R34" i="90"/>
  <c r="O34" i="90"/>
  <c r="I34" i="90"/>
  <c r="AM34" i="90"/>
  <c r="F34" i="90"/>
  <c r="AM68" i="90"/>
  <c r="O68" i="90"/>
  <c r="R68" i="90"/>
  <c r="AA68" i="90"/>
  <c r="U68" i="90"/>
  <c r="AD68" i="90"/>
  <c r="I68" i="90"/>
  <c r="F68" i="90"/>
  <c r="C68" i="90"/>
  <c r="AG68" i="90"/>
  <c r="AG29" i="90"/>
  <c r="I29" i="90"/>
  <c r="AA29" i="90"/>
  <c r="U29" i="90"/>
  <c r="R29" i="90"/>
  <c r="O29" i="90"/>
  <c r="F29" i="90"/>
  <c r="AM29" i="90"/>
  <c r="C29" i="90"/>
  <c r="AD29" i="90"/>
  <c r="AM65" i="90"/>
  <c r="O65" i="90"/>
  <c r="R65" i="90"/>
  <c r="AG65" i="90"/>
  <c r="C65" i="90"/>
  <c r="AD65" i="90"/>
  <c r="AA65" i="90"/>
  <c r="U65" i="90"/>
  <c r="I65" i="90"/>
  <c r="F65" i="90"/>
  <c r="AM42" i="90"/>
  <c r="R42" i="90"/>
  <c r="AA42" i="90"/>
  <c r="U42" i="90"/>
  <c r="O42" i="90"/>
  <c r="I42" i="90"/>
  <c r="F42" i="90"/>
  <c r="AG42" i="90"/>
  <c r="C42" i="90"/>
  <c r="AD42" i="90"/>
  <c r="AM45" i="90"/>
  <c r="O45" i="90"/>
  <c r="R45" i="90"/>
  <c r="I45" i="90"/>
  <c r="AD45" i="90"/>
  <c r="AA45" i="90"/>
  <c r="U45" i="90"/>
  <c r="F45" i="90"/>
  <c r="C45" i="90"/>
  <c r="AG45" i="90"/>
  <c r="AS40" i="79"/>
  <c r="AI75" i="90"/>
  <c r="AN75" i="90"/>
  <c r="AE75" i="90"/>
  <c r="AH75" i="90"/>
  <c r="X75" i="90"/>
  <c r="Y75" i="90" s="1"/>
  <c r="D75" i="90"/>
  <c r="P75" i="90"/>
  <c r="AB75" i="90"/>
  <c r="W75" i="90"/>
  <c r="J75" i="90"/>
  <c r="V75" i="90"/>
  <c r="G75" i="90"/>
  <c r="K75" i="90"/>
  <c r="AN26" i="90"/>
  <c r="AH26" i="90"/>
  <c r="AH66" i="90"/>
  <c r="D66" i="90"/>
  <c r="AI66" i="90"/>
  <c r="W66" i="90"/>
  <c r="K66" i="90"/>
  <c r="V66" i="90"/>
  <c r="J66" i="90"/>
  <c r="AE66" i="90"/>
  <c r="AB66" i="90"/>
  <c r="P66" i="90"/>
  <c r="S66" i="90"/>
  <c r="AN66" i="90"/>
  <c r="G66" i="90"/>
  <c r="AN37" i="90"/>
  <c r="P37" i="90"/>
  <c r="AH41" i="90"/>
  <c r="G41" i="90"/>
  <c r="AB41" i="90"/>
  <c r="AN58" i="90"/>
  <c r="W58" i="90"/>
  <c r="P58" i="90"/>
  <c r="AH58" i="90"/>
  <c r="D58" i="90"/>
  <c r="AE58" i="90"/>
  <c r="V58" i="90"/>
  <c r="K58" i="90"/>
  <c r="AB58" i="90"/>
  <c r="J58" i="90"/>
  <c r="AI58" i="90"/>
  <c r="G58" i="90"/>
  <c r="V39" i="90"/>
  <c r="D39" i="90"/>
  <c r="J39" i="90"/>
  <c r="AE57" i="90"/>
  <c r="P57" i="90"/>
  <c r="AH57" i="90"/>
  <c r="W57" i="90"/>
  <c r="D57" i="90"/>
  <c r="V57" i="90"/>
  <c r="K57" i="90"/>
  <c r="AB57" i="90"/>
  <c r="S57" i="90"/>
  <c r="J57" i="90"/>
  <c r="AN57" i="90"/>
  <c r="AI57" i="90"/>
  <c r="S67" i="90"/>
  <c r="D67" i="90"/>
  <c r="AE67" i="90"/>
  <c r="AN67" i="90"/>
  <c r="G67" i="90"/>
  <c r="AB67" i="90"/>
  <c r="P67" i="90"/>
  <c r="AI67" i="90"/>
  <c r="W67" i="90"/>
  <c r="K67" i="90"/>
  <c r="L67" i="90"/>
  <c r="AH67" i="90"/>
  <c r="V67" i="90"/>
  <c r="AN28" i="90"/>
  <c r="AH28" i="90"/>
  <c r="V28" i="90"/>
  <c r="S28" i="90"/>
  <c r="G28" i="90"/>
  <c r="AH59" i="90"/>
  <c r="J59" i="90"/>
  <c r="W59" i="90"/>
  <c r="D59" i="90"/>
  <c r="AN59" i="90"/>
  <c r="AE59" i="90"/>
  <c r="V59" i="90"/>
  <c r="K59" i="90"/>
  <c r="S59" i="90"/>
  <c r="AI59" i="90"/>
  <c r="L59" i="90"/>
  <c r="AB59" i="90"/>
  <c r="P59" i="90"/>
  <c r="AB23" i="90"/>
  <c r="P23" i="90"/>
  <c r="S23" i="90"/>
  <c r="G23" i="90"/>
  <c r="J38" i="90"/>
  <c r="AN38" i="90"/>
  <c r="AH38" i="90"/>
  <c r="D38" i="90"/>
  <c r="G38" i="90"/>
  <c r="AH20" i="90"/>
  <c r="D20" i="90"/>
  <c r="AB20" i="90"/>
  <c r="P20" i="90"/>
  <c r="J20" i="90"/>
  <c r="AN40" i="90"/>
  <c r="AB40" i="90"/>
  <c r="P40" i="90"/>
  <c r="AE70" i="90"/>
  <c r="V70" i="90"/>
  <c r="K70" i="90"/>
  <c r="AN70" i="90"/>
  <c r="AB70" i="90"/>
  <c r="P70" i="90"/>
  <c r="D70" i="90"/>
  <c r="W70" i="90"/>
  <c r="AI70" i="90"/>
  <c r="AH70" i="90"/>
  <c r="J70" i="90"/>
  <c r="G21" i="90"/>
  <c r="P21" i="90"/>
  <c r="AB21" i="90"/>
  <c r="S21" i="90"/>
  <c r="AH36" i="90"/>
  <c r="J36" i="90"/>
  <c r="AE36" i="90"/>
  <c r="P36" i="90"/>
  <c r="J78" i="90"/>
  <c r="AI78" i="90"/>
  <c r="P78" i="90"/>
  <c r="G78" i="90"/>
  <c r="AB78" i="90"/>
  <c r="S78" i="90"/>
  <c r="W78" i="90"/>
  <c r="D78" i="90"/>
  <c r="AN78" i="90"/>
  <c r="V78" i="90"/>
  <c r="AJ78" i="90"/>
  <c r="AK78" i="90" s="1"/>
  <c r="K78" i="90"/>
  <c r="AH78" i="90"/>
  <c r="AI61" i="90"/>
  <c r="AB61" i="90"/>
  <c r="K61" i="90"/>
  <c r="D61" i="90"/>
  <c r="AH61" i="90"/>
  <c r="W61" i="90"/>
  <c r="AN61" i="90"/>
  <c r="AE61" i="90"/>
  <c r="V61" i="90"/>
  <c r="S61" i="90"/>
  <c r="P61" i="90"/>
  <c r="J61" i="90"/>
  <c r="G25" i="90"/>
  <c r="J25" i="90"/>
  <c r="AN25" i="90"/>
  <c r="AH25" i="90"/>
  <c r="D25" i="90"/>
  <c r="AE76" i="90"/>
  <c r="AI76" i="90"/>
  <c r="AN76" i="90"/>
  <c r="W76" i="90"/>
  <c r="J76" i="90"/>
  <c r="V76" i="90"/>
  <c r="AH76" i="90"/>
  <c r="S76" i="90"/>
  <c r="D76" i="90"/>
  <c r="AB76" i="90"/>
  <c r="K76" i="90"/>
  <c r="P76" i="90"/>
  <c r="V62" i="90"/>
  <c r="AH62" i="90"/>
  <c r="W62" i="90"/>
  <c r="D62" i="90"/>
  <c r="K62" i="90"/>
  <c r="AN62" i="90"/>
  <c r="AE62" i="90"/>
  <c r="AI62" i="90"/>
  <c r="J62" i="90"/>
  <c r="AB62" i="90"/>
  <c r="P62" i="90"/>
  <c r="D34" i="90"/>
  <c r="AN34" i="90"/>
  <c r="AI68" i="90"/>
  <c r="AB68" i="90"/>
  <c r="K68" i="90"/>
  <c r="D68" i="90"/>
  <c r="P68" i="90"/>
  <c r="W68" i="90"/>
  <c r="S68" i="90"/>
  <c r="J68" i="90"/>
  <c r="AN68" i="90"/>
  <c r="G68" i="90"/>
  <c r="AH68" i="90"/>
  <c r="V68" i="90"/>
  <c r="AN29" i="90"/>
  <c r="AE29" i="90"/>
  <c r="P29" i="90"/>
  <c r="G29" i="90"/>
  <c r="AN65" i="90"/>
  <c r="W65" i="90"/>
  <c r="P65" i="90"/>
  <c r="AH65" i="90"/>
  <c r="D65" i="90"/>
  <c r="AB65" i="90"/>
  <c r="AI65" i="90"/>
  <c r="K65" i="90"/>
  <c r="AE65" i="90"/>
  <c r="J65" i="90"/>
  <c r="V65" i="90"/>
  <c r="S65" i="90"/>
  <c r="G65" i="90"/>
  <c r="D42" i="90"/>
  <c r="G42" i="90"/>
  <c r="AE44" i="90"/>
  <c r="AH44" i="90"/>
  <c r="V44" i="90"/>
  <c r="V63" i="90"/>
  <c r="AH63" i="90"/>
  <c r="W63" i="90"/>
  <c r="G63" i="90"/>
  <c r="AI63" i="90"/>
  <c r="D63" i="90"/>
  <c r="K63" i="90"/>
  <c r="AN63" i="90"/>
  <c r="AB63" i="90"/>
  <c r="P63" i="90"/>
  <c r="L63" i="90"/>
  <c r="D22" i="90"/>
  <c r="V22" i="90"/>
  <c r="S54" i="90"/>
  <c r="AI54" i="90"/>
  <c r="AH54" i="90"/>
  <c r="J54" i="90"/>
  <c r="AE54" i="90"/>
  <c r="P54" i="90"/>
  <c r="AB54" i="90"/>
  <c r="D54" i="90"/>
  <c r="W54" i="90"/>
  <c r="AN54" i="90"/>
  <c r="K54" i="90"/>
  <c r="V54" i="90"/>
  <c r="AN71" i="90"/>
  <c r="W71" i="90"/>
  <c r="P71" i="90"/>
  <c r="AB71" i="90"/>
  <c r="S71" i="90"/>
  <c r="AE71" i="90"/>
  <c r="K71" i="90"/>
  <c r="D71" i="90"/>
  <c r="G71" i="90"/>
  <c r="AH71" i="90"/>
  <c r="AI71" i="90"/>
  <c r="V71" i="90"/>
  <c r="J71" i="90"/>
  <c r="V69" i="90"/>
  <c r="K69" i="90"/>
  <c r="W69" i="90"/>
  <c r="AH69" i="90"/>
  <c r="AE69" i="90"/>
  <c r="S69" i="90"/>
  <c r="P69" i="90"/>
  <c r="D69" i="90"/>
  <c r="AN69" i="90"/>
  <c r="G69" i="90"/>
  <c r="AI69" i="90"/>
  <c r="AB69" i="90"/>
  <c r="D32" i="90"/>
  <c r="P32" i="90"/>
  <c r="S60" i="90"/>
  <c r="W60" i="90"/>
  <c r="D60" i="90"/>
  <c r="AN60" i="90"/>
  <c r="AE60" i="90"/>
  <c r="V60" i="90"/>
  <c r="K60" i="90"/>
  <c r="AB60" i="90"/>
  <c r="P60" i="90"/>
  <c r="J60" i="90"/>
  <c r="AI60" i="90"/>
  <c r="AN77" i="90"/>
  <c r="W77" i="90"/>
  <c r="P77" i="90"/>
  <c r="G77" i="90"/>
  <c r="AI77" i="90"/>
  <c r="AB77" i="90"/>
  <c r="K77" i="90"/>
  <c r="J77" i="90"/>
  <c r="AH77" i="90"/>
  <c r="D77" i="90"/>
  <c r="AE77" i="90"/>
  <c r="V77" i="90"/>
  <c r="D45" i="90"/>
  <c r="V56" i="90"/>
  <c r="P56" i="90"/>
  <c r="G56" i="90"/>
  <c r="AH56" i="90"/>
  <c r="W56" i="90"/>
  <c r="D56" i="90"/>
  <c r="K56" i="90"/>
  <c r="AB56" i="90"/>
  <c r="S56" i="90"/>
  <c r="J56" i="90"/>
  <c r="AN56" i="90"/>
  <c r="AI56" i="90"/>
  <c r="AE56" i="90"/>
  <c r="AH72" i="90"/>
  <c r="AB72" i="90"/>
  <c r="AN72" i="90"/>
  <c r="V72" i="90"/>
  <c r="K72" i="90"/>
  <c r="P72" i="90"/>
  <c r="D72" i="90"/>
  <c r="W72" i="90"/>
  <c r="J72" i="90"/>
  <c r="AI72" i="90"/>
  <c r="L72" i="90"/>
  <c r="M72" i="90" s="1"/>
  <c r="AE31" i="90"/>
  <c r="S31" i="90"/>
  <c r="AE64" i="90"/>
  <c r="AH64" i="90"/>
  <c r="W64" i="90"/>
  <c r="D64" i="90"/>
  <c r="J64" i="90"/>
  <c r="AN64" i="90"/>
  <c r="AB64" i="90"/>
  <c r="AI64" i="90"/>
  <c r="K64" i="90"/>
  <c r="V64" i="90"/>
  <c r="P64" i="90"/>
  <c r="G27" i="90"/>
  <c r="P27" i="90"/>
  <c r="AB27" i="90"/>
  <c r="J27" i="90"/>
  <c r="AN33" i="90"/>
  <c r="S33" i="90"/>
  <c r="D33" i="90"/>
  <c r="P43" i="90"/>
  <c r="G43" i="90"/>
  <c r="AH43" i="90"/>
  <c r="V43" i="90"/>
  <c r="AI79" i="90"/>
  <c r="P79" i="90"/>
  <c r="L79" i="90"/>
  <c r="AB79" i="90"/>
  <c r="S79" i="90"/>
  <c r="J79" i="90"/>
  <c r="W79" i="90"/>
  <c r="D79" i="90"/>
  <c r="AN79" i="90"/>
  <c r="AE79" i="90"/>
  <c r="K79" i="90"/>
  <c r="AH79" i="90"/>
  <c r="AI74" i="90"/>
  <c r="K74" i="90"/>
  <c r="D74" i="90"/>
  <c r="AN74" i="90"/>
  <c r="V74" i="90"/>
  <c r="AB74" i="90"/>
  <c r="W74" i="90"/>
  <c r="J74" i="90"/>
  <c r="AH74" i="90"/>
  <c r="S74" i="90"/>
  <c r="P74" i="90"/>
  <c r="G74" i="90"/>
  <c r="G35" i="90"/>
  <c r="AN35" i="90"/>
  <c r="P35" i="90"/>
  <c r="V35" i="90"/>
  <c r="S73" i="90"/>
  <c r="AB73" i="90"/>
  <c r="AN73" i="90"/>
  <c r="AE73" i="90"/>
  <c r="K73" i="90"/>
  <c r="W73" i="90"/>
  <c r="J73" i="90"/>
  <c r="AI73" i="90"/>
  <c r="G73" i="90"/>
  <c r="AH73" i="90"/>
  <c r="P73" i="90"/>
  <c r="D73" i="90"/>
  <c r="J24" i="90"/>
  <c r="AB24" i="90"/>
  <c r="V24" i="90"/>
  <c r="G24" i="90"/>
  <c r="P24" i="90"/>
  <c r="AI55" i="90"/>
  <c r="AB55" i="90"/>
  <c r="K55" i="90"/>
  <c r="D55" i="90"/>
  <c r="P55" i="90"/>
  <c r="AH55" i="90"/>
  <c r="W55" i="90"/>
  <c r="S55" i="90"/>
  <c r="J55" i="90"/>
  <c r="V55" i="90"/>
  <c r="AN55" i="90"/>
  <c r="AE55" i="90"/>
  <c r="P19" i="90"/>
  <c r="AH19" i="90"/>
  <c r="D19" i="90"/>
  <c r="V19" i="90"/>
  <c r="J19" i="90"/>
  <c r="S30" i="90"/>
  <c r="D30" i="90"/>
  <c r="AN30" i="90"/>
  <c r="AE30" i="90"/>
  <c r="G30" i="90"/>
  <c r="AS25" i="79"/>
  <c r="AT25" i="79" s="1"/>
  <c r="J25" i="79"/>
  <c r="AD25" i="79"/>
  <c r="AE25" i="79" s="1"/>
  <c r="AN21" i="78"/>
  <c r="V36" i="79"/>
  <c r="S26" i="79"/>
  <c r="N22" i="79"/>
  <c r="AK36" i="79"/>
  <c r="Y36" i="79"/>
  <c r="AN36" i="79"/>
  <c r="J36" i="79"/>
  <c r="AD36" i="79"/>
  <c r="AE36" i="79" s="1"/>
  <c r="O22" i="79"/>
  <c r="P22" i="79" s="1"/>
  <c r="D36" i="79"/>
  <c r="AD22" i="79"/>
  <c r="AE22" i="79" s="1"/>
  <c r="D24" i="109"/>
  <c r="S21" i="78"/>
  <c r="K36" i="79"/>
  <c r="N36" i="79"/>
  <c r="AH26" i="79"/>
  <c r="AO25" i="79"/>
  <c r="G26" i="79"/>
  <c r="P25" i="79"/>
  <c r="AP27" i="79"/>
  <c r="AQ27" i="79" s="1"/>
  <c r="AR27" i="79"/>
  <c r="Z22" i="79"/>
  <c r="AR22" i="79"/>
  <c r="Y25" i="79"/>
  <c r="V27" i="79"/>
  <c r="G25" i="79"/>
  <c r="AR36" i="79"/>
  <c r="P21" i="78"/>
  <c r="AH36" i="79"/>
  <c r="AC36" i="79"/>
  <c r="AA36" i="79"/>
  <c r="AB36" i="79" s="1"/>
  <c r="G36" i="79"/>
  <c r="L36" i="79"/>
  <c r="M36" i="79" s="1"/>
  <c r="AS36" i="79"/>
  <c r="AT36" i="79" s="1"/>
  <c r="AP36" i="79"/>
  <c r="AQ36" i="79" s="1"/>
  <c r="S36" i="79"/>
  <c r="Z36" i="79"/>
  <c r="O36" i="79"/>
  <c r="P36" i="79" s="1"/>
  <c r="J22" i="90"/>
  <c r="AH23" i="90"/>
  <c r="D23" i="90"/>
  <c r="AE20" i="90"/>
  <c r="G20" i="90"/>
  <c r="G32" i="90"/>
  <c r="G26" i="90"/>
  <c r="AB26" i="90"/>
  <c r="J31" i="90"/>
  <c r="G34" i="90"/>
  <c r="AB34" i="90"/>
  <c r="AN27" i="90"/>
  <c r="V33" i="90"/>
  <c r="AB42" i="90"/>
  <c r="P42" i="90"/>
  <c r="AN44" i="90"/>
  <c r="P25" i="90"/>
  <c r="V37" i="90"/>
  <c r="V29" i="90"/>
  <c r="AB29" i="90"/>
  <c r="D28" i="90"/>
  <c r="J28" i="90"/>
  <c r="V38" i="90"/>
  <c r="V21" i="90"/>
  <c r="AC25" i="79"/>
  <c r="AK25" i="79"/>
  <c r="AA25" i="79"/>
  <c r="AB25" i="79" s="1"/>
  <c r="K25" i="79"/>
  <c r="N25" i="79"/>
  <c r="AR25" i="79"/>
  <c r="AP41" i="79"/>
  <c r="AQ41" i="79" s="1"/>
  <c r="AH41" i="79"/>
  <c r="V41" i="79"/>
  <c r="N41" i="79"/>
  <c r="J41" i="79"/>
  <c r="AS41" i="79"/>
  <c r="AT41" i="79" s="1"/>
  <c r="AO41" i="79"/>
  <c r="AA41" i="79"/>
  <c r="AB41" i="79" s="1"/>
  <c r="S41" i="79"/>
  <c r="G41" i="79"/>
  <c r="AR41" i="79"/>
  <c r="AN41" i="79"/>
  <c r="AD41" i="79"/>
  <c r="AE41" i="79" s="1"/>
  <c r="Z41" i="79"/>
  <c r="L41" i="79"/>
  <c r="M41" i="79" s="1"/>
  <c r="D41" i="79"/>
  <c r="AK41" i="79"/>
  <c r="AC41" i="79"/>
  <c r="Y41" i="79"/>
  <c r="O41" i="79"/>
  <c r="P41" i="79" s="1"/>
  <c r="K41" i="79"/>
  <c r="S25" i="79"/>
  <c r="AH25" i="79"/>
  <c r="L25" i="79"/>
  <c r="M25" i="79" s="1"/>
  <c r="AP25" i="79"/>
  <c r="AQ25" i="79" s="1"/>
  <c r="AN25" i="79"/>
  <c r="O41" i="118"/>
  <c r="H41" i="118"/>
  <c r="V41" i="118"/>
  <c r="U111" i="117"/>
  <c r="G111" i="117"/>
  <c r="V111" i="117"/>
  <c r="H111" i="117"/>
  <c r="O111" i="117"/>
  <c r="N111" i="117"/>
  <c r="V77" i="117"/>
  <c r="H77" i="117"/>
  <c r="U77" i="117"/>
  <c r="G77" i="117"/>
  <c r="O77" i="117"/>
  <c r="N77" i="117"/>
  <c r="V43" i="117"/>
  <c r="H43" i="117"/>
  <c r="U43" i="117"/>
  <c r="G43" i="117"/>
  <c r="O43" i="117"/>
  <c r="N43" i="117"/>
  <c r="V41" i="72"/>
  <c r="H41" i="72"/>
  <c r="U41" i="72"/>
  <c r="G41" i="72"/>
  <c r="O41" i="72"/>
  <c r="N41" i="72"/>
  <c r="G41" i="114"/>
  <c r="D41" i="114"/>
  <c r="J41" i="114"/>
  <c r="J41" i="113"/>
  <c r="G41" i="113"/>
  <c r="D41" i="113"/>
  <c r="G41" i="112"/>
  <c r="D41" i="112"/>
  <c r="J41" i="112"/>
  <c r="J41" i="110"/>
  <c r="G41" i="110"/>
  <c r="D41" i="110"/>
  <c r="J41" i="109"/>
  <c r="G41" i="109"/>
  <c r="D41" i="109"/>
  <c r="J41" i="108"/>
  <c r="G41" i="108"/>
  <c r="D41" i="108"/>
  <c r="J41" i="107"/>
  <c r="D41" i="107"/>
  <c r="G41" i="107"/>
  <c r="AH31" i="102"/>
  <c r="AJ41" i="102"/>
  <c r="AB41" i="102"/>
  <c r="V41" i="102"/>
  <c r="L41" i="102"/>
  <c r="M41" i="102" s="1"/>
  <c r="D41" i="102"/>
  <c r="AM41" i="102"/>
  <c r="AN41" i="102" s="1"/>
  <c r="AI41" i="102"/>
  <c r="S41" i="102"/>
  <c r="K41" i="102"/>
  <c r="AL41" i="102"/>
  <c r="X41" i="102"/>
  <c r="Y41" i="102" s="1"/>
  <c r="J41" i="102"/>
  <c r="AK41" i="102"/>
  <c r="AE41" i="102"/>
  <c r="W41" i="102"/>
  <c r="G41" i="102"/>
  <c r="AH41" i="102"/>
  <c r="P41" i="102"/>
  <c r="AP42" i="101"/>
  <c r="AQ42" i="101" s="1"/>
  <c r="AH42" i="101"/>
  <c r="V42" i="101"/>
  <c r="N42" i="101"/>
  <c r="J42" i="101"/>
  <c r="AS42" i="101"/>
  <c r="AT42" i="101" s="1"/>
  <c r="AO42" i="101"/>
  <c r="AA42" i="101"/>
  <c r="AB42" i="101" s="1"/>
  <c r="S42" i="101"/>
  <c r="G42" i="101"/>
  <c r="AR42" i="101"/>
  <c r="AN42" i="101"/>
  <c r="AD42" i="101"/>
  <c r="AE42" i="101" s="1"/>
  <c r="Z42" i="101"/>
  <c r="L42" i="101"/>
  <c r="M42" i="101" s="1"/>
  <c r="D42" i="101"/>
  <c r="AK42" i="101"/>
  <c r="AC42" i="101"/>
  <c r="Y42" i="101"/>
  <c r="O42" i="101"/>
  <c r="P42" i="101" s="1"/>
  <c r="K42" i="101"/>
  <c r="AP42" i="99"/>
  <c r="AQ42" i="99" s="1"/>
  <c r="AH42" i="99"/>
  <c r="V42" i="99"/>
  <c r="N42" i="99"/>
  <c r="J42" i="99"/>
  <c r="AS42" i="99"/>
  <c r="AT42" i="99" s="1"/>
  <c r="AO42" i="99"/>
  <c r="AA42" i="99"/>
  <c r="AB42" i="99" s="1"/>
  <c r="S42" i="99"/>
  <c r="G42" i="99"/>
  <c r="AR42" i="99"/>
  <c r="AN42" i="99"/>
  <c r="AD42" i="99"/>
  <c r="AE42" i="99" s="1"/>
  <c r="Z42" i="99"/>
  <c r="L42" i="99"/>
  <c r="M42" i="99" s="1"/>
  <c r="D42" i="99"/>
  <c r="AK42" i="99"/>
  <c r="AC42" i="99"/>
  <c r="Y42" i="99"/>
  <c r="O42" i="99"/>
  <c r="P42" i="99" s="1"/>
  <c r="K42" i="99"/>
  <c r="O42" i="96"/>
  <c r="N42" i="96"/>
  <c r="V42" i="96"/>
  <c r="H42" i="96"/>
  <c r="U42" i="96"/>
  <c r="G42" i="96"/>
  <c r="V42" i="94"/>
  <c r="H42" i="94"/>
  <c r="G42" i="94"/>
  <c r="O42" i="94"/>
  <c r="U42" i="94"/>
  <c r="N42" i="94"/>
  <c r="AB44" i="90"/>
  <c r="W44" i="90"/>
  <c r="L44" i="90"/>
  <c r="M44" i="90" s="1"/>
  <c r="G44" i="90"/>
  <c r="J44" i="90"/>
  <c r="AI44" i="90"/>
  <c r="P44" i="90"/>
  <c r="K44" i="90"/>
  <c r="AJ44" i="90"/>
  <c r="D44" i="90"/>
  <c r="AN77" i="78"/>
  <c r="AH77" i="78"/>
  <c r="X77" i="78"/>
  <c r="Y77" i="78" s="1"/>
  <c r="P77" i="78"/>
  <c r="J77" i="78"/>
  <c r="K77" i="78"/>
  <c r="AE77" i="78"/>
  <c r="W77" i="78"/>
  <c r="G77" i="78"/>
  <c r="AJ77" i="78"/>
  <c r="AK77" i="78" s="1"/>
  <c r="AB77" i="78"/>
  <c r="V77" i="78"/>
  <c r="L77" i="78"/>
  <c r="M77" i="78" s="1"/>
  <c r="D77" i="78"/>
  <c r="AI77" i="78"/>
  <c r="S77" i="78"/>
  <c r="AN43" i="78"/>
  <c r="AH43" i="78"/>
  <c r="X43" i="78"/>
  <c r="Y43" i="78" s="1"/>
  <c r="P43" i="78"/>
  <c r="J43" i="78"/>
  <c r="G43" i="78"/>
  <c r="S43" i="78"/>
  <c r="AE43" i="78"/>
  <c r="W43" i="78"/>
  <c r="AJ43" i="78"/>
  <c r="AK43" i="78" s="1"/>
  <c r="AB43" i="78"/>
  <c r="V43" i="78"/>
  <c r="L43" i="78"/>
  <c r="M43" i="78" s="1"/>
  <c r="D43" i="78"/>
  <c r="AI43" i="78"/>
  <c r="K43" i="78"/>
  <c r="V31" i="102"/>
  <c r="J38" i="110"/>
  <c r="G21" i="78"/>
  <c r="G24" i="109"/>
  <c r="D38" i="113"/>
  <c r="G38" i="110"/>
  <c r="D16" i="108"/>
  <c r="W21" i="78"/>
  <c r="L21" i="78"/>
  <c r="M21" i="78" s="1"/>
  <c r="V37" i="79"/>
  <c r="D22" i="79"/>
  <c r="N37" i="79"/>
  <c r="AO37" i="79"/>
  <c r="AA26" i="79"/>
  <c r="AB26" i="79" s="1"/>
  <c r="AD27" i="79"/>
  <c r="AE27" i="79" s="1"/>
  <c r="AS22" i="79"/>
  <c r="AT22" i="79" s="1"/>
  <c r="G27" i="79"/>
  <c r="Y26" i="79"/>
  <c r="AA37" i="79"/>
  <c r="AB37" i="79" s="1"/>
  <c r="D27" i="79"/>
  <c r="L37" i="79"/>
  <c r="M37" i="79" s="1"/>
  <c r="AK27" i="79"/>
  <c r="AN27" i="79"/>
  <c r="J22" i="79"/>
  <c r="AN22" i="79"/>
  <c r="K27" i="79"/>
  <c r="N26" i="79"/>
  <c r="J27" i="79"/>
  <c r="AR26" i="79"/>
  <c r="AC26" i="79"/>
  <c r="AH37" i="79"/>
  <c r="Y27" i="79"/>
  <c r="V26" i="79"/>
  <c r="AD37" i="79"/>
  <c r="AE37" i="79" s="1"/>
  <c r="O27" i="79"/>
  <c r="P27" i="79" s="1"/>
  <c r="L22" i="79"/>
  <c r="M22" i="79" s="1"/>
  <c r="O40" i="79"/>
  <c r="P40" i="79" s="1"/>
  <c r="AR37" i="79"/>
  <c r="O26" i="79"/>
  <c r="P26" i="79" s="1"/>
  <c r="Z26" i="79"/>
  <c r="AK26" i="79"/>
  <c r="L26" i="79"/>
  <c r="M26" i="79" s="1"/>
  <c r="AM31" i="102"/>
  <c r="AN31" i="102" s="1"/>
  <c r="AH27" i="79"/>
  <c r="AH22" i="79"/>
  <c r="Y21" i="78"/>
  <c r="AK37" i="79"/>
  <c r="S22" i="79"/>
  <c r="L27" i="79"/>
  <c r="M27" i="79" s="1"/>
  <c r="AE21" i="78"/>
  <c r="V21" i="78"/>
  <c r="AS27" i="79"/>
  <c r="AT27" i="79" s="1"/>
  <c r="AA27" i="79"/>
  <c r="AB27" i="79" s="1"/>
  <c r="AH21" i="78"/>
  <c r="J21" i="78"/>
  <c r="AD26" i="79"/>
  <c r="AE26" i="79" s="1"/>
  <c r="AS26" i="79"/>
  <c r="AT26" i="79" s="1"/>
  <c r="AP37" i="79"/>
  <c r="AQ37" i="79" s="1"/>
  <c r="N27" i="79"/>
  <c r="AC27" i="79"/>
  <c r="AP22" i="79"/>
  <c r="AQ22" i="79" s="1"/>
  <c r="AN37" i="79"/>
  <c r="AS37" i="79"/>
  <c r="AT37" i="79" s="1"/>
  <c r="G37" i="79"/>
  <c r="AD40" i="79"/>
  <c r="AE40" i="79" s="1"/>
  <c r="AN26" i="79"/>
  <c r="D26" i="79"/>
  <c r="AO26" i="79"/>
  <c r="J31" i="102"/>
  <c r="V22" i="79"/>
  <c r="K21" i="78"/>
  <c r="AK22" i="79"/>
  <c r="Y22" i="79"/>
  <c r="K22" i="79"/>
  <c r="AB21" i="78"/>
  <c r="AC22" i="79"/>
  <c r="G22" i="79"/>
  <c r="AI21" i="78"/>
  <c r="AA22" i="79"/>
  <c r="AB22" i="79" s="1"/>
  <c r="AO27" i="79"/>
  <c r="AP26" i="79"/>
  <c r="AQ26" i="79" s="1"/>
  <c r="J26" i="79"/>
  <c r="K37" i="79"/>
  <c r="O37" i="79"/>
  <c r="P37" i="79" s="1"/>
  <c r="S27" i="79"/>
  <c r="D21" i="78"/>
  <c r="AJ21" i="78"/>
  <c r="AK21" i="78" s="1"/>
  <c r="Y37" i="79"/>
  <c r="S37" i="79"/>
  <c r="J37" i="79"/>
  <c r="D37" i="79"/>
  <c r="Z37" i="79"/>
  <c r="V40" i="79"/>
  <c r="L39" i="101"/>
  <c r="M39" i="101" s="1"/>
  <c r="AH21" i="79"/>
  <c r="K33" i="79"/>
  <c r="O39" i="79"/>
  <c r="P39" i="79" s="1"/>
  <c r="Y24" i="79"/>
  <c r="O24" i="79"/>
  <c r="P24" i="79" s="1"/>
  <c r="K28" i="79"/>
  <c r="Y21" i="79"/>
  <c r="Y33" i="79"/>
  <c r="AH33" i="79"/>
  <c r="G24" i="79"/>
  <c r="G21" i="79"/>
  <c r="AP40" i="79"/>
  <c r="AQ40" i="79" s="1"/>
  <c r="G40" i="79"/>
  <c r="V39" i="79"/>
  <c r="AN21" i="79"/>
  <c r="AC32" i="79"/>
  <c r="AH29" i="79"/>
  <c r="O21" i="79"/>
  <c r="P21" i="79" s="1"/>
  <c r="S39" i="79"/>
  <c r="S32" i="79"/>
  <c r="N29" i="79"/>
  <c r="Z29" i="79"/>
  <c r="AC28" i="79"/>
  <c r="S24" i="79"/>
  <c r="AA32" i="79"/>
  <c r="AB32" i="79" s="1"/>
  <c r="AR24" i="79"/>
  <c r="AR28" i="79"/>
  <c r="AS32" i="79"/>
  <c r="AT32" i="79" s="1"/>
  <c r="G32" i="79"/>
  <c r="AO24" i="79"/>
  <c r="J28" i="79"/>
  <c r="G29" i="79"/>
  <c r="V29" i="79"/>
  <c r="K32" i="79"/>
  <c r="N39" i="79"/>
  <c r="J21" i="79"/>
  <c r="G33" i="79"/>
  <c r="AH24" i="79"/>
  <c r="AP39" i="79"/>
  <c r="AQ39" i="79" s="1"/>
  <c r="Z21" i="79"/>
  <c r="AD33" i="79"/>
  <c r="AE33" i="79" s="1"/>
  <c r="V33" i="79"/>
  <c r="AR33" i="79"/>
  <c r="AK24" i="79"/>
  <c r="AC29" i="79"/>
  <c r="AA28" i="79"/>
  <c r="AB28" i="79" s="1"/>
  <c r="AC24" i="79"/>
  <c r="J29" i="79"/>
  <c r="O29" i="79"/>
  <c r="P29" i="79" s="1"/>
  <c r="AA39" i="79"/>
  <c r="AB39" i="79" s="1"/>
  <c r="AO39" i="79"/>
  <c r="K21" i="79"/>
  <c r="V21" i="79"/>
  <c r="AR29" i="79"/>
  <c r="AP33" i="79"/>
  <c r="AQ33" i="79" s="1"/>
  <c r="O28" i="79"/>
  <c r="P28" i="79" s="1"/>
  <c r="D29" i="79"/>
  <c r="S45" i="90"/>
  <c r="L33" i="79"/>
  <c r="M33" i="79" s="1"/>
  <c r="AD32" i="79"/>
  <c r="AE32" i="79" s="1"/>
  <c r="Z28" i="79"/>
  <c r="AD39" i="79"/>
  <c r="AE39" i="79" s="1"/>
  <c r="S21" i="79"/>
  <c r="AS28" i="79"/>
  <c r="AT28" i="79" s="1"/>
  <c r="AP28" i="79"/>
  <c r="AQ28" i="79" s="1"/>
  <c r="AQ29" i="79"/>
  <c r="K24" i="79"/>
  <c r="AP32" i="79"/>
  <c r="AQ32" i="79" s="1"/>
  <c r="O32" i="79"/>
  <c r="P32" i="79" s="1"/>
  <c r="AK33" i="79"/>
  <c r="AC21" i="79"/>
  <c r="L21" i="79"/>
  <c r="M21" i="79" s="1"/>
  <c r="D24" i="79"/>
  <c r="AC39" i="79"/>
  <c r="AP21" i="79"/>
  <c r="AQ21" i="79" s="1"/>
  <c r="AK32" i="79"/>
  <c r="N32" i="79"/>
  <c r="AN32" i="79"/>
  <c r="O33" i="79"/>
  <c r="P33" i="79" s="1"/>
  <c r="AC33" i="79"/>
  <c r="AN33" i="79"/>
  <c r="AS24" i="79"/>
  <c r="AT24" i="79" s="1"/>
  <c r="AN29" i="79"/>
  <c r="AA29" i="79"/>
  <c r="AB29" i="79" s="1"/>
  <c r="L29" i="79"/>
  <c r="M29" i="79" s="1"/>
  <c r="AR39" i="79"/>
  <c r="AD21" i="79"/>
  <c r="AE21" i="79" s="1"/>
  <c r="Y29" i="79"/>
  <c r="S28" i="79"/>
  <c r="V24" i="79"/>
  <c r="N28" i="79"/>
  <c r="AK28" i="79"/>
  <c r="Y28" i="79"/>
  <c r="AD24" i="79"/>
  <c r="AE24" i="79" s="1"/>
  <c r="N24" i="79"/>
  <c r="V28" i="79"/>
  <c r="S29" i="79"/>
  <c r="AR32" i="79"/>
  <c r="J33" i="79"/>
  <c r="AN39" i="79"/>
  <c r="J39" i="79"/>
  <c r="AO21" i="79"/>
  <c r="AS21" i="79"/>
  <c r="AT21" i="79" s="1"/>
  <c r="AP24" i="79"/>
  <c r="AQ24" i="79" s="1"/>
  <c r="AO32" i="79"/>
  <c r="G28" i="79"/>
  <c r="Y39" i="79"/>
  <c r="AH39" i="79"/>
  <c r="AD28" i="79"/>
  <c r="AE28" i="79" s="1"/>
  <c r="AS39" i="79"/>
  <c r="AT39" i="79" s="1"/>
  <c r="AS33" i="79"/>
  <c r="AT33" i="79" s="1"/>
  <c r="Z33" i="79"/>
  <c r="L32" i="79"/>
  <c r="M32" i="79" s="1"/>
  <c r="D32" i="79"/>
  <c r="Y32" i="79"/>
  <c r="AH32" i="79"/>
  <c r="S33" i="79"/>
  <c r="V32" i="79"/>
  <c r="D33" i="79"/>
  <c r="AO33" i="79"/>
  <c r="AN28" i="79"/>
  <c r="D28" i="79"/>
  <c r="AR21" i="79"/>
  <c r="AO29" i="79"/>
  <c r="L28" i="79"/>
  <c r="M28" i="79" s="1"/>
  <c r="AN24" i="79"/>
  <c r="AK29" i="79"/>
  <c r="AD29" i="79"/>
  <c r="AE29" i="79" s="1"/>
  <c r="K29" i="79"/>
  <c r="J24" i="79"/>
  <c r="AO28" i="79"/>
  <c r="AS29" i="79"/>
  <c r="AT29" i="79" s="1"/>
  <c r="J32" i="79"/>
  <c r="K45" i="90"/>
  <c r="Z39" i="79"/>
  <c r="K39" i="79"/>
  <c r="AA21" i="79"/>
  <c r="AB21" i="79" s="1"/>
  <c r="N21" i="79"/>
  <c r="AA33" i="79"/>
  <c r="AB33" i="79" s="1"/>
  <c r="AA24" i="79"/>
  <c r="AB24" i="79" s="1"/>
  <c r="L24" i="79"/>
  <c r="M24" i="79" s="1"/>
  <c r="D39" i="79"/>
  <c r="D21" i="79"/>
  <c r="G39" i="79"/>
  <c r="AK39" i="79"/>
  <c r="AS18" i="79"/>
  <c r="AT18" i="79" s="1"/>
  <c r="G18" i="79"/>
  <c r="O25" i="101"/>
  <c r="P25" i="101" s="1"/>
  <c r="L40" i="79"/>
  <c r="M40" i="79" s="1"/>
  <c r="AR40" i="79"/>
  <c r="AT40" i="79"/>
  <c r="AC40" i="79"/>
  <c r="AA40" i="79"/>
  <c r="AB40" i="79" s="1"/>
  <c r="J40" i="79"/>
  <c r="Z40" i="79"/>
  <c r="N40" i="79"/>
  <c r="K40" i="79"/>
  <c r="AK40" i="79"/>
  <c r="AO40" i="79"/>
  <c r="D40" i="79"/>
  <c r="AN40" i="79"/>
  <c r="AH40" i="79"/>
  <c r="Y40" i="79"/>
  <c r="Z31" i="99"/>
  <c r="AK29" i="99"/>
  <c r="G19" i="94"/>
  <c r="AS29" i="99"/>
  <c r="AT29" i="99" s="1"/>
  <c r="AA24" i="101"/>
  <c r="AB24" i="101" s="1"/>
  <c r="AS33" i="99"/>
  <c r="AT33" i="99" s="1"/>
  <c r="V30" i="118"/>
  <c r="U95" i="117"/>
  <c r="U32" i="72"/>
  <c r="AA34" i="79"/>
  <c r="AB34" i="79" s="1"/>
  <c r="O19" i="79"/>
  <c r="P19" i="79" s="1"/>
  <c r="O39" i="101"/>
  <c r="P39" i="101" s="1"/>
  <c r="Z39" i="101"/>
  <c r="J17" i="110"/>
  <c r="AA18" i="79"/>
  <c r="AB18" i="79" s="1"/>
  <c r="L18" i="79"/>
  <c r="M18" i="79" s="1"/>
  <c r="N18" i="79"/>
  <c r="AN38" i="79"/>
  <c r="L19" i="79"/>
  <c r="M19" i="79" s="1"/>
  <c r="N19" i="79"/>
  <c r="G38" i="79"/>
  <c r="J18" i="79"/>
  <c r="L34" i="78"/>
  <c r="M34" i="78" s="1"/>
  <c r="S29" i="78"/>
  <c r="AN18" i="79"/>
  <c r="AN30" i="79"/>
  <c r="AD42" i="79"/>
  <c r="AE42" i="79" s="1"/>
  <c r="D18" i="79"/>
  <c r="AI22" i="102"/>
  <c r="Z19" i="79"/>
  <c r="AK19" i="79"/>
  <c r="Z18" i="79"/>
  <c r="AD18" i="79"/>
  <c r="AE18" i="79" s="1"/>
  <c r="AS42" i="79"/>
  <c r="AT42" i="79" s="1"/>
  <c r="O18" i="79"/>
  <c r="P18" i="79" s="1"/>
  <c r="S61" i="78"/>
  <c r="S42" i="79"/>
  <c r="AP18" i="79"/>
  <c r="AQ18" i="79" s="1"/>
  <c r="AH17" i="79"/>
  <c r="K17" i="79"/>
  <c r="G39" i="101"/>
  <c r="AP34" i="79"/>
  <c r="AQ34" i="79" s="1"/>
  <c r="S34" i="79"/>
  <c r="K39" i="101"/>
  <c r="Y35" i="79"/>
  <c r="N39" i="101"/>
  <c r="V17" i="79"/>
  <c r="AR23" i="79"/>
  <c r="AH23" i="79"/>
  <c r="AC35" i="79"/>
  <c r="AD39" i="101"/>
  <c r="AE39" i="101" s="1"/>
  <c r="AO33" i="99"/>
  <c r="Y39" i="101"/>
  <c r="D24" i="90"/>
  <c r="S36" i="90"/>
  <c r="AE42" i="90"/>
  <c r="P41" i="90"/>
  <c r="D21" i="90"/>
  <c r="AB36" i="90"/>
  <c r="AE35" i="90"/>
  <c r="J35" i="90"/>
  <c r="AR33" i="99"/>
  <c r="AN22" i="90"/>
  <c r="G22" i="90"/>
  <c r="S22" i="90"/>
  <c r="P22" i="90"/>
  <c r="K23" i="90"/>
  <c r="V20" i="90"/>
  <c r="AN20" i="90"/>
  <c r="L33" i="99"/>
  <c r="M33" i="99" s="1"/>
  <c r="Y33" i="99"/>
  <c r="W39" i="90"/>
  <c r="G39" i="90"/>
  <c r="AI33" i="90"/>
  <c r="AH33" i="90"/>
  <c r="D39" i="101"/>
  <c r="AS39" i="101"/>
  <c r="AT39" i="101" s="1"/>
  <c r="AA39" i="101"/>
  <c r="AB39" i="101" s="1"/>
  <c r="S39" i="101"/>
  <c r="AP39" i="101"/>
  <c r="AQ39" i="101" s="1"/>
  <c r="AK39" i="101"/>
  <c r="AN39" i="101"/>
  <c r="AC39" i="101"/>
  <c r="AO39" i="101"/>
  <c r="V39" i="101"/>
  <c r="AH39" i="101"/>
  <c r="AR39" i="101"/>
  <c r="D38" i="107"/>
  <c r="G38" i="107"/>
  <c r="J38" i="107"/>
  <c r="G18" i="109"/>
  <c r="D18" i="109"/>
  <c r="G38" i="112"/>
  <c r="D38" i="112"/>
  <c r="AP35" i="79"/>
  <c r="AQ35" i="79" s="1"/>
  <c r="AK35" i="79"/>
  <c r="AS17" i="79"/>
  <c r="AT17" i="79" s="1"/>
  <c r="S17" i="79"/>
  <c r="AH31" i="79"/>
  <c r="O31" i="79"/>
  <c r="P31" i="79" s="1"/>
  <c r="G31" i="79"/>
  <c r="V20" i="79"/>
  <c r="G20" i="79"/>
  <c r="AO20" i="79"/>
  <c r="AN23" i="79"/>
  <c r="AC23" i="79"/>
  <c r="N23" i="79"/>
  <c r="D34" i="79"/>
  <c r="G34" i="79"/>
  <c r="J34" i="79"/>
  <c r="Y34" i="79"/>
  <c r="O34" i="79"/>
  <c r="P34" i="79" s="1"/>
  <c r="AK34" i="79"/>
  <c r="K34" i="79"/>
  <c r="AS34" i="79"/>
  <c r="AT34" i="79" s="1"/>
  <c r="AN34" i="79"/>
  <c r="AC34" i="79"/>
  <c r="AO34" i="79"/>
  <c r="Z34" i="79"/>
  <c r="AR34" i="79"/>
  <c r="AD34" i="79"/>
  <c r="AE34" i="79" s="1"/>
  <c r="AB43" i="90"/>
  <c r="AN43" i="90"/>
  <c r="S43" i="90"/>
  <c r="J43" i="90"/>
  <c r="W25" i="90"/>
  <c r="V25" i="90"/>
  <c r="W37" i="90"/>
  <c r="V41" i="90"/>
  <c r="V36" i="90"/>
  <c r="AN36" i="90"/>
  <c r="AN45" i="90"/>
  <c r="D26" i="90"/>
  <c r="P34" i="90"/>
  <c r="J34" i="90"/>
  <c r="AI31" i="90"/>
  <c r="AI27" i="90"/>
  <c r="AH27" i="90"/>
  <c r="V27" i="90"/>
  <c r="J21" i="90"/>
  <c r="V30" i="90"/>
  <c r="AH30" i="90"/>
  <c r="V42" i="90"/>
  <c r="AN42" i="90"/>
  <c r="AB19" i="90"/>
  <c r="AE25" i="90"/>
  <c r="G40" i="90"/>
  <c r="AH37" i="90"/>
  <c r="S27" i="90"/>
  <c r="AN24" i="90"/>
  <c r="K40" i="90"/>
  <c r="J40" i="90"/>
  <c r="D40" i="90"/>
  <c r="W19" i="90"/>
  <c r="AB38" i="90"/>
  <c r="AN19" i="90"/>
  <c r="P26" i="90"/>
  <c r="AE38" i="90"/>
  <c r="P30" i="90"/>
  <c r="D29" i="90"/>
  <c r="AB25" i="90"/>
  <c r="G19" i="90"/>
  <c r="AO18" i="79"/>
  <c r="AP19" i="79"/>
  <c r="AQ19" i="79" s="1"/>
  <c r="S19" i="79"/>
  <c r="U27" i="94"/>
  <c r="AK18" i="79"/>
  <c r="Y18" i="79"/>
  <c r="AH18" i="79"/>
  <c r="AC18" i="79"/>
  <c r="S38" i="79"/>
  <c r="V18" i="79"/>
  <c r="J19" i="79"/>
  <c r="AP30" i="79"/>
  <c r="AQ30" i="79" s="1"/>
  <c r="S18" i="79"/>
  <c r="AR18" i="79"/>
  <c r="AK30" i="79"/>
  <c r="D27" i="101"/>
  <c r="V40" i="118"/>
  <c r="H40" i="118"/>
  <c r="O40" i="118"/>
  <c r="V110" i="117"/>
  <c r="H110" i="117"/>
  <c r="U110" i="117"/>
  <c r="G110" i="117"/>
  <c r="O110" i="117"/>
  <c r="N110" i="117"/>
  <c r="V76" i="117"/>
  <c r="H76" i="117"/>
  <c r="U76" i="117"/>
  <c r="G76" i="117"/>
  <c r="O76" i="117"/>
  <c r="N76" i="117"/>
  <c r="V42" i="117"/>
  <c r="H42" i="117"/>
  <c r="U42" i="117"/>
  <c r="G42" i="117"/>
  <c r="O42" i="117"/>
  <c r="N42" i="117"/>
  <c r="V40" i="72"/>
  <c r="H40" i="72"/>
  <c r="U40" i="72"/>
  <c r="G40" i="72"/>
  <c r="N40" i="72"/>
  <c r="O40" i="72"/>
  <c r="G19" i="114"/>
  <c r="D19" i="114"/>
  <c r="J40" i="114"/>
  <c r="D40" i="114"/>
  <c r="G40" i="114"/>
  <c r="J40" i="113"/>
  <c r="G40" i="113"/>
  <c r="D40" i="113"/>
  <c r="G38" i="113"/>
  <c r="J40" i="112"/>
  <c r="G40" i="112"/>
  <c r="D40" i="112"/>
  <c r="J40" i="110"/>
  <c r="G40" i="110"/>
  <c r="D40" i="110"/>
  <c r="G38" i="109"/>
  <c r="J40" i="109"/>
  <c r="D40" i="109"/>
  <c r="G40" i="109"/>
  <c r="G16" i="108"/>
  <c r="J40" i="108"/>
  <c r="D40" i="108"/>
  <c r="G40" i="108"/>
  <c r="J40" i="107"/>
  <c r="G40" i="107"/>
  <c r="D40" i="107"/>
  <c r="AP41" i="101"/>
  <c r="AQ41" i="101" s="1"/>
  <c r="AH41" i="101"/>
  <c r="V41" i="101"/>
  <c r="N41" i="101"/>
  <c r="J41" i="101"/>
  <c r="Y41" i="101"/>
  <c r="K41" i="101"/>
  <c r="AS41" i="101"/>
  <c r="AT41" i="101" s="1"/>
  <c r="AO41" i="101"/>
  <c r="AA41" i="101"/>
  <c r="AB41" i="101" s="1"/>
  <c r="S41" i="101"/>
  <c r="G41" i="101"/>
  <c r="AR41" i="101"/>
  <c r="AN41" i="101"/>
  <c r="AD41" i="101"/>
  <c r="AE41" i="101" s="1"/>
  <c r="Z41" i="101"/>
  <c r="L41" i="101"/>
  <c r="M41" i="101" s="1"/>
  <c r="D41" i="101"/>
  <c r="AK41" i="101"/>
  <c r="AC41" i="101"/>
  <c r="O41" i="101"/>
  <c r="P41" i="101" s="1"/>
  <c r="V24" i="101"/>
  <c r="AP41" i="99"/>
  <c r="AQ41" i="99" s="1"/>
  <c r="AH41" i="99"/>
  <c r="V41" i="99"/>
  <c r="N41" i="99"/>
  <c r="J41" i="99"/>
  <c r="S41" i="99"/>
  <c r="G41" i="99"/>
  <c r="AR41" i="99"/>
  <c r="AN41" i="99"/>
  <c r="Z41" i="99"/>
  <c r="D41" i="99"/>
  <c r="AS41" i="99"/>
  <c r="AT41" i="99" s="1"/>
  <c r="AO41" i="99"/>
  <c r="AA41" i="99"/>
  <c r="AB41" i="99" s="1"/>
  <c r="AD41" i="99"/>
  <c r="AE41" i="99" s="1"/>
  <c r="L41" i="99"/>
  <c r="M41" i="99" s="1"/>
  <c r="AK41" i="99"/>
  <c r="AC41" i="99"/>
  <c r="Y41" i="99"/>
  <c r="O41" i="99"/>
  <c r="P41" i="99" s="1"/>
  <c r="K41" i="99"/>
  <c r="H23" i="96"/>
  <c r="V41" i="96"/>
  <c r="U41" i="96"/>
  <c r="G41" i="96"/>
  <c r="O41" i="96"/>
  <c r="N41" i="96"/>
  <c r="H41" i="96"/>
  <c r="V41" i="94"/>
  <c r="H41" i="94"/>
  <c r="G41" i="94"/>
  <c r="N41" i="94"/>
  <c r="U41" i="94"/>
  <c r="O41" i="94"/>
  <c r="AI45" i="90"/>
  <c r="AE45" i="90"/>
  <c r="P45" i="90"/>
  <c r="AB45" i="90"/>
  <c r="J45" i="90"/>
  <c r="AH45" i="90"/>
  <c r="W45" i="90"/>
  <c r="G45" i="90"/>
  <c r="V45" i="90"/>
  <c r="W43" i="90"/>
  <c r="AE43" i="90"/>
  <c r="D43" i="90"/>
  <c r="K43" i="90"/>
  <c r="AI43" i="90"/>
  <c r="AH24" i="101"/>
  <c r="O24" i="101"/>
  <c r="P24" i="101" s="1"/>
  <c r="AP30" i="99"/>
  <c r="AQ30" i="99" s="1"/>
  <c r="N33" i="94"/>
  <c r="O23" i="96"/>
  <c r="AC31" i="79"/>
  <c r="D20" i="79"/>
  <c r="J31" i="99"/>
  <c r="Y31" i="99"/>
  <c r="V31" i="79"/>
  <c r="AA29" i="99"/>
  <c r="AB29" i="99" s="1"/>
  <c r="G29" i="99"/>
  <c r="N34" i="79"/>
  <c r="L34" i="79"/>
  <c r="M34" i="79" s="1"/>
  <c r="AH34" i="79"/>
  <c r="AK31" i="99"/>
  <c r="L29" i="99"/>
  <c r="M29" i="99" s="1"/>
  <c r="K20" i="79"/>
  <c r="U28" i="96"/>
  <c r="AE31" i="102"/>
  <c r="K31" i="102"/>
  <c r="AL31" i="102"/>
  <c r="AC30" i="79"/>
  <c r="D31" i="102"/>
  <c r="Y30" i="79"/>
  <c r="AA19" i="79"/>
  <c r="AB19" i="79" s="1"/>
  <c r="G19" i="79"/>
  <c r="V19" i="79"/>
  <c r="AR19" i="79"/>
  <c r="L67" i="78"/>
  <c r="M67" i="78" s="1"/>
  <c r="P31" i="102"/>
  <c r="L31" i="102"/>
  <c r="M31" i="102" s="1"/>
  <c r="AJ31" i="102"/>
  <c r="AK31" i="102" s="1"/>
  <c r="AO38" i="79"/>
  <c r="AH30" i="79"/>
  <c r="AH38" i="79"/>
  <c r="AA42" i="79"/>
  <c r="AB42" i="79" s="1"/>
  <c r="AR38" i="79"/>
  <c r="AC42" i="79"/>
  <c r="L38" i="79"/>
  <c r="M38" i="79" s="1"/>
  <c r="AP38" i="79"/>
  <c r="AQ38" i="79" s="1"/>
  <c r="S31" i="102"/>
  <c r="L42" i="79"/>
  <c r="M42" i="79" s="1"/>
  <c r="L30" i="79"/>
  <c r="M30" i="79" s="1"/>
  <c r="AA30" i="79"/>
  <c r="AB30" i="79" s="1"/>
  <c r="AC19" i="79"/>
  <c r="J42" i="79"/>
  <c r="N42" i="79"/>
  <c r="N30" i="79"/>
  <c r="Z38" i="79"/>
  <c r="O30" i="79"/>
  <c r="P30" i="79" s="1"/>
  <c r="X31" i="102"/>
  <c r="Y31" i="102" s="1"/>
  <c r="AK42" i="79"/>
  <c r="AA38" i="79"/>
  <c r="AB38" i="79" s="1"/>
  <c r="K38" i="79"/>
  <c r="AD30" i="79"/>
  <c r="AE30" i="79" s="1"/>
  <c r="O38" i="79"/>
  <c r="P38" i="79" s="1"/>
  <c r="V38" i="79"/>
  <c r="K42" i="79"/>
  <c r="Y38" i="79"/>
  <c r="AB31" i="102"/>
  <c r="D30" i="79"/>
  <c r="K19" i="79"/>
  <c r="G42" i="79"/>
  <c r="AR42" i="79"/>
  <c r="AO42" i="79"/>
  <c r="AO30" i="79"/>
  <c r="K30" i="79"/>
  <c r="J30" i="79"/>
  <c r="AN19" i="79"/>
  <c r="AO19" i="79"/>
  <c r="AN42" i="79"/>
  <c r="AH19" i="79"/>
  <c r="W31" i="102"/>
  <c r="AP42" i="79"/>
  <c r="AQ42" i="79" s="1"/>
  <c r="AC38" i="79"/>
  <c r="N38" i="79"/>
  <c r="J38" i="79"/>
  <c r="V30" i="79"/>
  <c r="Z42" i="79"/>
  <c r="AK38" i="79"/>
  <c r="AD38" i="79"/>
  <c r="AE38" i="79" s="1"/>
  <c r="O42" i="79"/>
  <c r="P42" i="79" s="1"/>
  <c r="AS38" i="79"/>
  <c r="AT38" i="79" s="1"/>
  <c r="AI31" i="102"/>
  <c r="D19" i="79"/>
  <c r="AS19" i="79"/>
  <c r="AT19" i="79" s="1"/>
  <c r="Z30" i="79"/>
  <c r="AD19" i="79"/>
  <c r="AE19" i="79" s="1"/>
  <c r="S30" i="79"/>
  <c r="V42" i="79"/>
  <c r="D42" i="79"/>
  <c r="AH42" i="79"/>
  <c r="AS30" i="79"/>
  <c r="AT30" i="79" s="1"/>
  <c r="G30" i="79"/>
  <c r="G102" i="117"/>
  <c r="AK17" i="79"/>
  <c r="AA17" i="79"/>
  <c r="AB17" i="79" s="1"/>
  <c r="AN17" i="79"/>
  <c r="AS35" i="79"/>
  <c r="AT35" i="79" s="1"/>
  <c r="J35" i="79"/>
  <c r="Z35" i="79"/>
  <c r="AH35" i="79"/>
  <c r="AP31" i="79"/>
  <c r="AQ31" i="79" s="1"/>
  <c r="L31" i="79"/>
  <c r="M31" i="79" s="1"/>
  <c r="J20" i="79"/>
  <c r="AO23" i="79"/>
  <c r="L20" i="79"/>
  <c r="M20" i="79" s="1"/>
  <c r="AS31" i="79"/>
  <c r="AT31" i="79" s="1"/>
  <c r="Y31" i="79"/>
  <c r="AA31" i="79"/>
  <c r="AB31" i="79" s="1"/>
  <c r="AA20" i="79"/>
  <c r="AB20" i="79" s="1"/>
  <c r="AP20" i="79"/>
  <c r="AQ20" i="79" s="1"/>
  <c r="N17" i="79"/>
  <c r="D35" i="79"/>
  <c r="O35" i="79"/>
  <c r="P35" i="79" s="1"/>
  <c r="AR17" i="79"/>
  <c r="L23" i="79"/>
  <c r="M23" i="79" s="1"/>
  <c r="AK23" i="79"/>
  <c r="V55" i="78"/>
  <c r="AD23" i="79"/>
  <c r="AE23" i="79" s="1"/>
  <c r="G23" i="79"/>
  <c r="AD31" i="79"/>
  <c r="AE31" i="79" s="1"/>
  <c r="K23" i="79"/>
  <c r="J31" i="79"/>
  <c r="L17" i="79"/>
  <c r="M17" i="79" s="1"/>
  <c r="G33" i="99"/>
  <c r="S33" i="99"/>
  <c r="D33" i="99"/>
  <c r="N95" i="117"/>
  <c r="J38" i="109"/>
  <c r="AC33" i="99"/>
  <c r="AK33" i="99"/>
  <c r="AH33" i="99"/>
  <c r="AA23" i="79"/>
  <c r="AB23" i="79" s="1"/>
  <c r="AR35" i="79"/>
  <c r="AP17" i="79"/>
  <c r="AQ17" i="79" s="1"/>
  <c r="Z17" i="79"/>
  <c r="N35" i="79"/>
  <c r="D17" i="79"/>
  <c r="S35" i="79"/>
  <c r="G95" i="117"/>
  <c r="AS20" i="79"/>
  <c r="AT20" i="79" s="1"/>
  <c r="AO31" i="79"/>
  <c r="Z31" i="79"/>
  <c r="AP23" i="79"/>
  <c r="AQ23" i="79" s="1"/>
  <c r="AR20" i="79"/>
  <c r="AK31" i="79"/>
  <c r="K31" i="79"/>
  <c r="AR31" i="79"/>
  <c r="Y20" i="79"/>
  <c r="AN20" i="79"/>
  <c r="G35" i="79"/>
  <c r="L35" i="79"/>
  <c r="M35" i="79" s="1"/>
  <c r="AS23" i="79"/>
  <c r="AT23" i="79" s="1"/>
  <c r="S23" i="79"/>
  <c r="Z23" i="79"/>
  <c r="N20" i="79"/>
  <c r="D23" i="79"/>
  <c r="H95" i="117"/>
  <c r="AP33" i="99"/>
  <c r="AQ33" i="99" s="1"/>
  <c r="N33" i="99"/>
  <c r="Z33" i="99"/>
  <c r="V35" i="79"/>
  <c r="O17" i="79"/>
  <c r="P17" i="79" s="1"/>
  <c r="G17" i="79"/>
  <c r="Y17" i="79"/>
  <c r="AO17" i="79"/>
  <c r="AA35" i="79"/>
  <c r="AB35" i="79" s="1"/>
  <c r="K35" i="79"/>
  <c r="V95" i="117"/>
  <c r="AK20" i="79"/>
  <c r="AC20" i="79"/>
  <c r="N31" i="79"/>
  <c r="Y23" i="79"/>
  <c r="AN31" i="79"/>
  <c r="S31" i="79"/>
  <c r="O20" i="79"/>
  <c r="P20" i="79" s="1"/>
  <c r="Z20" i="79"/>
  <c r="D31" i="79"/>
  <c r="AD20" i="79"/>
  <c r="AE20" i="79" s="1"/>
  <c r="AD35" i="79"/>
  <c r="AE35" i="79" s="1"/>
  <c r="AN35" i="79"/>
  <c r="AD17" i="79"/>
  <c r="AE17" i="79" s="1"/>
  <c r="J23" i="79"/>
  <c r="J17" i="79"/>
  <c r="O23" i="79"/>
  <c r="P23" i="79" s="1"/>
  <c r="S20" i="79"/>
  <c r="O30" i="118"/>
  <c r="V39" i="118"/>
  <c r="O39" i="118"/>
  <c r="H39" i="118"/>
  <c r="V109" i="117"/>
  <c r="H109" i="117"/>
  <c r="U109" i="117"/>
  <c r="G109" i="117"/>
  <c r="O109" i="117"/>
  <c r="N109" i="117"/>
  <c r="N86" i="117"/>
  <c r="U58" i="117"/>
  <c r="V86" i="117"/>
  <c r="G58" i="117"/>
  <c r="V75" i="117"/>
  <c r="H75" i="117"/>
  <c r="N75" i="117"/>
  <c r="U75" i="117"/>
  <c r="G75" i="117"/>
  <c r="O75" i="117"/>
  <c r="U86" i="117"/>
  <c r="N58" i="117"/>
  <c r="O93" i="117"/>
  <c r="V41" i="117"/>
  <c r="H41" i="117"/>
  <c r="O41" i="117"/>
  <c r="U41" i="117"/>
  <c r="G41" i="117"/>
  <c r="N41" i="117"/>
  <c r="V39" i="72"/>
  <c r="H39" i="72"/>
  <c r="O39" i="72"/>
  <c r="U39" i="72"/>
  <c r="G39" i="72"/>
  <c r="N39" i="72"/>
  <c r="J39" i="114"/>
  <c r="D39" i="114"/>
  <c r="G39" i="114"/>
  <c r="J39" i="113"/>
  <c r="G39" i="113"/>
  <c r="D39" i="113"/>
  <c r="J39" i="112"/>
  <c r="D39" i="112"/>
  <c r="G39" i="112"/>
  <c r="J39" i="110"/>
  <c r="D39" i="110"/>
  <c r="G39" i="110"/>
  <c r="D34" i="110"/>
  <c r="J39" i="109"/>
  <c r="D39" i="109"/>
  <c r="G39" i="109"/>
  <c r="J39" i="108"/>
  <c r="G39" i="108"/>
  <c r="D39" i="108"/>
  <c r="J39" i="107"/>
  <c r="G39" i="107"/>
  <c r="D39" i="107"/>
  <c r="AJ40" i="102"/>
  <c r="AK40" i="102" s="1"/>
  <c r="AB40" i="102"/>
  <c r="V40" i="102"/>
  <c r="L40" i="102"/>
  <c r="M40" i="102" s="1"/>
  <c r="D40" i="102"/>
  <c r="W40" i="102"/>
  <c r="G40" i="102"/>
  <c r="AM40" i="102"/>
  <c r="AN40" i="102" s="1"/>
  <c r="AI40" i="102"/>
  <c r="S40" i="102"/>
  <c r="K40" i="102"/>
  <c r="AE40" i="102"/>
  <c r="AL40" i="102"/>
  <c r="AH40" i="102"/>
  <c r="X40" i="102"/>
  <c r="Y40" i="102" s="1"/>
  <c r="P40" i="102"/>
  <c r="J40" i="102"/>
  <c r="AP40" i="101"/>
  <c r="AQ40" i="101" s="1"/>
  <c r="AH40" i="101"/>
  <c r="V40" i="101"/>
  <c r="N40" i="101"/>
  <c r="J40" i="101"/>
  <c r="AR40" i="101"/>
  <c r="AN40" i="101"/>
  <c r="Z40" i="101"/>
  <c r="D40" i="101"/>
  <c r="AS40" i="101"/>
  <c r="AT40" i="101" s="1"/>
  <c r="AO40" i="101"/>
  <c r="AA40" i="101"/>
  <c r="AB40" i="101" s="1"/>
  <c r="S40" i="101"/>
  <c r="G40" i="101"/>
  <c r="AD40" i="101"/>
  <c r="AE40" i="101" s="1"/>
  <c r="L40" i="101"/>
  <c r="M40" i="101" s="1"/>
  <c r="AK40" i="101"/>
  <c r="AC40" i="101"/>
  <c r="Y40" i="101"/>
  <c r="O40" i="101"/>
  <c r="P40" i="101" s="1"/>
  <c r="K40" i="101"/>
  <c r="AP40" i="99"/>
  <c r="AQ40" i="99" s="1"/>
  <c r="AH40" i="99"/>
  <c r="V40" i="99"/>
  <c r="N40" i="99"/>
  <c r="J40" i="99"/>
  <c r="AC40" i="99"/>
  <c r="O40" i="99"/>
  <c r="P40" i="99" s="1"/>
  <c r="AS40" i="99"/>
  <c r="AT40" i="99" s="1"/>
  <c r="AO40" i="99"/>
  <c r="AA40" i="99"/>
  <c r="AB40" i="99" s="1"/>
  <c r="S40" i="99"/>
  <c r="G40" i="99"/>
  <c r="AK40" i="99"/>
  <c r="K40" i="99"/>
  <c r="AR40" i="99"/>
  <c r="AN40" i="99"/>
  <c r="AD40" i="99"/>
  <c r="AE40" i="99" s="1"/>
  <c r="Z40" i="99"/>
  <c r="L40" i="99"/>
  <c r="M40" i="99" s="1"/>
  <c r="D40" i="99"/>
  <c r="Y40" i="99"/>
  <c r="V40" i="96"/>
  <c r="H40" i="96"/>
  <c r="G40" i="96"/>
  <c r="U40" i="96"/>
  <c r="N40" i="96"/>
  <c r="O40" i="96"/>
  <c r="U18" i="94"/>
  <c r="V40" i="94"/>
  <c r="H40" i="94"/>
  <c r="N40" i="94"/>
  <c r="U40" i="94"/>
  <c r="G40" i="94"/>
  <c r="O40" i="94"/>
  <c r="V18" i="94"/>
  <c r="W42" i="90"/>
  <c r="S42" i="90"/>
  <c r="J42" i="90"/>
  <c r="AH42" i="90"/>
  <c r="K42" i="90"/>
  <c r="AI42" i="90"/>
  <c r="AN76" i="78"/>
  <c r="AH76" i="78"/>
  <c r="X76" i="78"/>
  <c r="Y76" i="78" s="1"/>
  <c r="P76" i="78"/>
  <c r="J76" i="78"/>
  <c r="AE76" i="78"/>
  <c r="W76" i="78"/>
  <c r="G76" i="78"/>
  <c r="K76" i="78"/>
  <c r="AJ76" i="78"/>
  <c r="AK76" i="78" s="1"/>
  <c r="AB76" i="78"/>
  <c r="V76" i="78"/>
  <c r="L76" i="78"/>
  <c r="M76" i="78" s="1"/>
  <c r="D76" i="78"/>
  <c r="AI76" i="78"/>
  <c r="S76" i="78"/>
  <c r="AN42" i="78"/>
  <c r="AH42" i="78"/>
  <c r="X42" i="78"/>
  <c r="Y42" i="78" s="1"/>
  <c r="P42" i="78"/>
  <c r="J42" i="78"/>
  <c r="AI42" i="78"/>
  <c r="S42" i="78"/>
  <c r="AE42" i="78"/>
  <c r="W42" i="78"/>
  <c r="G42" i="78"/>
  <c r="AJ42" i="78"/>
  <c r="AK42" i="78" s="1"/>
  <c r="AB42" i="78"/>
  <c r="V42" i="78"/>
  <c r="L42" i="78"/>
  <c r="M42" i="78" s="1"/>
  <c r="D42" i="78"/>
  <c r="K42" i="78"/>
  <c r="J61" i="78"/>
  <c r="G34" i="78"/>
  <c r="AN61" i="78"/>
  <c r="AH29" i="78"/>
  <c r="V34" i="78"/>
  <c r="L17" i="102"/>
  <c r="M17" i="102" s="1"/>
  <c r="AE61" i="78"/>
  <c r="AI29" i="78"/>
  <c r="P67" i="78"/>
  <c r="AJ45" i="90"/>
  <c r="V27" i="117"/>
  <c r="N32" i="96"/>
  <c r="AI78" i="78"/>
  <c r="P44" i="78"/>
  <c r="AA22" i="99"/>
  <c r="AB22" i="99" s="1"/>
  <c r="K78" i="78"/>
  <c r="D25" i="112"/>
  <c r="AK45" i="90"/>
  <c r="K22" i="99"/>
  <c r="U29" i="94"/>
  <c r="AI69" i="78"/>
  <c r="J59" i="78"/>
  <c r="V59" i="78"/>
  <c r="Z22" i="99"/>
  <c r="V19" i="102"/>
  <c r="AN59" i="78"/>
  <c r="X45" i="90"/>
  <c r="Y45" i="90" s="1"/>
  <c r="AJ59" i="78"/>
  <c r="AK59" i="78" s="1"/>
  <c r="S22" i="99"/>
  <c r="AH44" i="78"/>
  <c r="D22" i="99"/>
  <c r="U31" i="96"/>
  <c r="W23" i="90"/>
  <c r="AS22" i="99"/>
  <c r="AT22" i="99" s="1"/>
  <c r="H35" i="96"/>
  <c r="L45" i="90"/>
  <c r="M45" i="90" s="1"/>
  <c r="J19" i="102"/>
  <c r="O29" i="94"/>
  <c r="AB44" i="78"/>
  <c r="AO32" i="99"/>
  <c r="J28" i="112"/>
  <c r="G20" i="112"/>
  <c r="D17" i="107"/>
  <c r="N90" i="117"/>
  <c r="J32" i="99"/>
  <c r="H20" i="117"/>
  <c r="U25" i="117"/>
  <c r="G18" i="113"/>
  <c r="V32" i="99"/>
  <c r="L66" i="78"/>
  <c r="M66" i="78" s="1"/>
  <c r="J31" i="107"/>
  <c r="J37" i="113"/>
  <c r="G19" i="113"/>
  <c r="S32" i="99"/>
  <c r="AK32" i="99"/>
  <c r="AS32" i="99"/>
  <c r="AT32" i="99" s="1"/>
  <c r="K32" i="99"/>
  <c r="D28" i="112"/>
  <c r="AR32" i="99"/>
  <c r="AA32" i="99"/>
  <c r="AB32" i="99" s="1"/>
  <c r="G32" i="99"/>
  <c r="O31" i="72"/>
  <c r="D31" i="107"/>
  <c r="AI34" i="78"/>
  <c r="D37" i="113"/>
  <c r="O18" i="94"/>
  <c r="N40" i="117"/>
  <c r="O61" i="117"/>
  <c r="J20" i="112"/>
  <c r="J17" i="107"/>
  <c r="Z32" i="99"/>
  <c r="L32" i="99"/>
  <c r="M32" i="99" s="1"/>
  <c r="V24" i="117"/>
  <c r="AB69" i="78"/>
  <c r="K44" i="78"/>
  <c r="J22" i="99"/>
  <c r="AR22" i="99"/>
  <c r="AN44" i="78"/>
  <c r="O57" i="117"/>
  <c r="G22" i="108"/>
  <c r="AB24" i="102"/>
  <c r="AO22" i="99"/>
  <c r="D69" i="78"/>
  <c r="Y22" i="99"/>
  <c r="L22" i="99"/>
  <c r="M22" i="99" s="1"/>
  <c r="AH22" i="99"/>
  <c r="AC22" i="99"/>
  <c r="D44" i="78"/>
  <c r="V35" i="96"/>
  <c r="G32" i="96"/>
  <c r="H29" i="94"/>
  <c r="L78" i="78"/>
  <c r="M78" i="78" s="1"/>
  <c r="X44" i="78"/>
  <c r="Y44" i="78" s="1"/>
  <c r="G19" i="102"/>
  <c r="AJ19" i="102"/>
  <c r="AK19" i="102" s="1"/>
  <c r="L59" i="78"/>
  <c r="M59" i="78" s="1"/>
  <c r="AJ32" i="78"/>
  <c r="AK32" i="78" s="1"/>
  <c r="V22" i="99"/>
  <c r="AN22" i="99"/>
  <c r="H32" i="96"/>
  <c r="X59" i="78"/>
  <c r="Y59" i="78" s="1"/>
  <c r="L69" i="78"/>
  <c r="M69" i="78" s="1"/>
  <c r="V44" i="78"/>
  <c r="G36" i="117"/>
  <c r="G23" i="110"/>
  <c r="AI23" i="90"/>
  <c r="W78" i="78"/>
  <c r="W69" i="78"/>
  <c r="J42" i="112"/>
  <c r="O22" i="99"/>
  <c r="P22" i="99" s="1"/>
  <c r="N22" i="99"/>
  <c r="AP22" i="99"/>
  <c r="AQ22" i="99" s="1"/>
  <c r="G21" i="96"/>
  <c r="AK44" i="78"/>
  <c r="O35" i="96"/>
  <c r="U32" i="96"/>
  <c r="G29" i="94"/>
  <c r="X78" i="78"/>
  <c r="Y78" i="78" s="1"/>
  <c r="X69" i="78"/>
  <c r="Y69" i="78" s="1"/>
  <c r="AE44" i="78"/>
  <c r="G44" i="78"/>
  <c r="W19" i="102"/>
  <c r="AH19" i="102"/>
  <c r="S59" i="78"/>
  <c r="K59" i="78"/>
  <c r="G35" i="96"/>
  <c r="J78" i="78"/>
  <c r="AH59" i="78"/>
  <c r="G59" i="78"/>
  <c r="AH69" i="78"/>
  <c r="G31" i="110"/>
  <c r="N52" i="117"/>
  <c r="G36" i="114"/>
  <c r="AJ24" i="102"/>
  <c r="AK24" i="102" s="1"/>
  <c r="AK22" i="99"/>
  <c r="AD22" i="99"/>
  <c r="AE22" i="99" s="1"/>
  <c r="N35" i="96"/>
  <c r="O32" i="96"/>
  <c r="N29" i="94"/>
  <c r="K35" i="90"/>
  <c r="AE78" i="78"/>
  <c r="AE69" i="78"/>
  <c r="AI44" i="78"/>
  <c r="J44" i="78"/>
  <c r="W44" i="78"/>
  <c r="S19" i="102"/>
  <c r="X19" i="102"/>
  <c r="Y19" i="102" s="1"/>
  <c r="AE59" i="78"/>
  <c r="W59" i="78"/>
  <c r="J69" i="78"/>
  <c r="L44" i="78"/>
  <c r="M44" i="78" s="1"/>
  <c r="D59" i="78"/>
  <c r="AJ69" i="78"/>
  <c r="AK69" i="78" s="1"/>
  <c r="O102" i="117"/>
  <c r="V106" i="117"/>
  <c r="L25" i="99"/>
  <c r="M25" i="99" s="1"/>
  <c r="AD30" i="99"/>
  <c r="AE30" i="99" s="1"/>
  <c r="H93" i="117"/>
  <c r="V64" i="117"/>
  <c r="N21" i="117"/>
  <c r="J17" i="114"/>
  <c r="D34" i="102"/>
  <c r="N25" i="99"/>
  <c r="N30" i="96"/>
  <c r="H102" i="117"/>
  <c r="D33" i="114"/>
  <c r="J23" i="107"/>
  <c r="O52" i="117"/>
  <c r="U27" i="117"/>
  <c r="AL34" i="102"/>
  <c r="AH18" i="101"/>
  <c r="O25" i="99"/>
  <c r="P25" i="99" s="1"/>
  <c r="V33" i="94"/>
  <c r="N35" i="72"/>
  <c r="H33" i="94"/>
  <c r="G27" i="94"/>
  <c r="D30" i="99"/>
  <c r="U19" i="94"/>
  <c r="H18" i="94"/>
  <c r="G22" i="96"/>
  <c r="AH61" i="78"/>
  <c r="J29" i="78"/>
  <c r="X61" i="78"/>
  <c r="Y61" i="78" s="1"/>
  <c r="AE29" i="78"/>
  <c r="W34" i="78"/>
  <c r="P29" i="78"/>
  <c r="L61" i="78"/>
  <c r="M61" i="78" s="1"/>
  <c r="AN34" i="78"/>
  <c r="AJ29" i="78"/>
  <c r="AK29" i="78" s="1"/>
  <c r="K34" i="78"/>
  <c r="D34" i="78"/>
  <c r="K27" i="90"/>
  <c r="K61" i="78"/>
  <c r="AR18" i="101"/>
  <c r="N28" i="96"/>
  <c r="H27" i="94"/>
  <c r="G28" i="96"/>
  <c r="G16" i="72"/>
  <c r="AC30" i="99"/>
  <c r="N37" i="96"/>
  <c r="W17" i="102"/>
  <c r="AN25" i="99"/>
  <c r="X29" i="78"/>
  <c r="Y29" i="78" s="1"/>
  <c r="V61" i="78"/>
  <c r="AB34" i="78"/>
  <c r="P34" i="78"/>
  <c r="W61" i="78"/>
  <c r="AE34" i="78"/>
  <c r="D29" i="78"/>
  <c r="G61" i="78"/>
  <c r="G18" i="94"/>
  <c r="H27" i="117"/>
  <c r="G26" i="113"/>
  <c r="G18" i="101"/>
  <c r="O27" i="94"/>
  <c r="O16" i="72"/>
  <c r="V27" i="94"/>
  <c r="G17" i="94"/>
  <c r="N30" i="99"/>
  <c r="V22" i="96"/>
  <c r="D61" i="78"/>
  <c r="K29" i="78"/>
  <c r="AN29" i="78"/>
  <c r="AI61" i="78"/>
  <c r="W29" i="78"/>
  <c r="L29" i="78"/>
  <c r="M29" i="78" s="1"/>
  <c r="J34" i="78"/>
  <c r="S23" i="78"/>
  <c r="N20" i="72"/>
  <c r="G20" i="72"/>
  <c r="J29" i="113"/>
  <c r="D29" i="113"/>
  <c r="J37" i="110"/>
  <c r="D37" i="110"/>
  <c r="G31" i="113"/>
  <c r="D31" i="113"/>
  <c r="J20" i="113"/>
  <c r="G20" i="113"/>
  <c r="D20" i="113"/>
  <c r="J16" i="109"/>
  <c r="G16" i="109"/>
  <c r="J37" i="107"/>
  <c r="G37" i="107"/>
  <c r="G20" i="107"/>
  <c r="J20" i="107"/>
  <c r="D20" i="107"/>
  <c r="J21" i="112"/>
  <c r="D23" i="110"/>
  <c r="J20" i="114"/>
  <c r="J20" i="109"/>
  <c r="D22" i="108"/>
  <c r="J31" i="113"/>
  <c r="G21" i="112"/>
  <c r="D31" i="110"/>
  <c r="D20" i="114"/>
  <c r="G20" i="109"/>
  <c r="U21" i="96"/>
  <c r="G21" i="107"/>
  <c r="J26" i="110"/>
  <c r="J32" i="109"/>
  <c r="D42" i="112"/>
  <c r="O37" i="96"/>
  <c r="K25" i="90"/>
  <c r="H37" i="96"/>
  <c r="J35" i="107"/>
  <c r="G37" i="110"/>
  <c r="D16" i="109"/>
  <c r="AM25" i="102"/>
  <c r="AN25" i="102" s="1"/>
  <c r="K25" i="102"/>
  <c r="H21" i="96"/>
  <c r="O21" i="96"/>
  <c r="G16" i="113"/>
  <c r="D16" i="113"/>
  <c r="D31" i="112"/>
  <c r="J31" i="112"/>
  <c r="G31" i="112"/>
  <c r="J26" i="108"/>
  <c r="G26" i="108"/>
  <c r="D31" i="114"/>
  <c r="J31" i="114"/>
  <c r="J37" i="108"/>
  <c r="G37" i="108"/>
  <c r="D37" i="108"/>
  <c r="N106" i="117"/>
  <c r="H106" i="117"/>
  <c r="AB37" i="102"/>
  <c r="X37" i="102"/>
  <c r="Y37" i="102" s="1"/>
  <c r="AH37" i="102"/>
  <c r="P34" i="102"/>
  <c r="AB34" i="102"/>
  <c r="U26" i="96"/>
  <c r="N26" i="96"/>
  <c r="V26" i="96"/>
  <c r="O30" i="94"/>
  <c r="U30" i="94"/>
  <c r="N21" i="94"/>
  <c r="O21" i="94"/>
  <c r="U21" i="94"/>
  <c r="G93" i="117"/>
  <c r="V93" i="117"/>
  <c r="N93" i="117"/>
  <c r="AE42" i="102"/>
  <c r="AB42" i="102"/>
  <c r="P42" i="102"/>
  <c r="X42" i="102"/>
  <c r="G42" i="102"/>
  <c r="L38" i="101"/>
  <c r="M38" i="101" s="1"/>
  <c r="V38" i="101"/>
  <c r="AD38" i="101"/>
  <c r="AE38" i="101" s="1"/>
  <c r="AC38" i="101"/>
  <c r="AA38" i="101"/>
  <c r="AB38" i="101" s="1"/>
  <c r="N38" i="101"/>
  <c r="V28" i="96"/>
  <c r="H28" i="96"/>
  <c r="H19" i="94"/>
  <c r="V19" i="94"/>
  <c r="N19" i="94"/>
  <c r="AH58" i="78"/>
  <c r="V58" i="78"/>
  <c r="AI31" i="78"/>
  <c r="D31" i="78"/>
  <c r="AJ25" i="78"/>
  <c r="AK25" i="78" s="1"/>
  <c r="AH25" i="78"/>
  <c r="AJ20" i="102"/>
  <c r="AK20" i="102" s="1"/>
  <c r="V20" i="102"/>
  <c r="O30" i="99"/>
  <c r="P30" i="99" s="1"/>
  <c r="G30" i="99"/>
  <c r="Z30" i="99"/>
  <c r="AH30" i="99"/>
  <c r="AA30" i="99"/>
  <c r="AB30" i="99" s="1"/>
  <c r="K30" i="99"/>
  <c r="J30" i="99"/>
  <c r="K37" i="90"/>
  <c r="AI37" i="90"/>
  <c r="K28" i="78"/>
  <c r="X28" i="78"/>
  <c r="Y28" i="78" s="1"/>
  <c r="J72" i="78"/>
  <c r="G72" i="78"/>
  <c r="G27" i="72"/>
  <c r="V27" i="72"/>
  <c r="H27" i="72"/>
  <c r="O27" i="72"/>
  <c r="U27" i="72"/>
  <c r="O32" i="72"/>
  <c r="H32" i="72"/>
  <c r="N32" i="72"/>
  <c r="G32" i="72"/>
  <c r="X22" i="102"/>
  <c r="Y22" i="102" s="1"/>
  <c r="D22" i="102"/>
  <c r="K20" i="90"/>
  <c r="O33" i="99"/>
  <c r="P33" i="99" s="1"/>
  <c r="AA33" i="99"/>
  <c r="AB33" i="99" s="1"/>
  <c r="AD33" i="99"/>
  <c r="AE33" i="99" s="1"/>
  <c r="AN33" i="99"/>
  <c r="K33" i="99"/>
  <c r="V33" i="99"/>
  <c r="H86" i="117"/>
  <c r="O86" i="117"/>
  <c r="O29" i="99"/>
  <c r="P29" i="99" s="1"/>
  <c r="K29" i="99"/>
  <c r="AP29" i="99"/>
  <c r="AQ29" i="99" s="1"/>
  <c r="D29" i="99"/>
  <c r="AH29" i="99"/>
  <c r="N29" i="99"/>
  <c r="AO29" i="99"/>
  <c r="Z29" i="99"/>
  <c r="J29" i="99"/>
  <c r="V29" i="99"/>
  <c r="Y29" i="99"/>
  <c r="AC29" i="99"/>
  <c r="S29" i="99"/>
  <c r="AD29" i="99"/>
  <c r="AE29" i="99" s="1"/>
  <c r="AN29" i="99"/>
  <c r="O31" i="99"/>
  <c r="P31" i="99" s="1"/>
  <c r="K31" i="99"/>
  <c r="AA31" i="99"/>
  <c r="AB31" i="99" s="1"/>
  <c r="V31" i="99"/>
  <c r="L31" i="99"/>
  <c r="M31" i="99" s="1"/>
  <c r="G31" i="99"/>
  <c r="AP31" i="99"/>
  <c r="AQ31" i="99" s="1"/>
  <c r="AC31" i="99"/>
  <c r="AD31" i="99"/>
  <c r="AE31" i="99" s="1"/>
  <c r="AR31" i="99"/>
  <c r="AS31" i="99"/>
  <c r="AT31" i="99" s="1"/>
  <c r="AO31" i="99"/>
  <c r="D31" i="99"/>
  <c r="AH31" i="99"/>
  <c r="N31" i="99"/>
  <c r="AN31" i="99"/>
  <c r="L24" i="101"/>
  <c r="M24" i="101" s="1"/>
  <c r="S24" i="101"/>
  <c r="AP24" i="101"/>
  <c r="AQ24" i="101" s="1"/>
  <c r="AR24" i="101"/>
  <c r="AC24" i="101"/>
  <c r="J24" i="101"/>
  <c r="AN24" i="101"/>
  <c r="AD24" i="101"/>
  <c r="AE24" i="101" s="1"/>
  <c r="AS24" i="101"/>
  <c r="AT24" i="101" s="1"/>
  <c r="D24" i="101"/>
  <c r="Z24" i="101"/>
  <c r="AK24" i="101"/>
  <c r="N24" i="101"/>
  <c r="K24" i="101"/>
  <c r="AO24" i="101"/>
  <c r="Y24" i="101"/>
  <c r="V23" i="96"/>
  <c r="U23" i="96"/>
  <c r="N23" i="96"/>
  <c r="V31" i="72"/>
  <c r="H31" i="72"/>
  <c r="N31" i="72"/>
  <c r="U31" i="72"/>
  <c r="Y32" i="99"/>
  <c r="AH32" i="99"/>
  <c r="N32" i="99"/>
  <c r="AN32" i="99"/>
  <c r="AD32" i="99"/>
  <c r="AE32" i="99" s="1"/>
  <c r="O32" i="99"/>
  <c r="P32" i="99" s="1"/>
  <c r="AP32" i="99"/>
  <c r="AQ32" i="99" s="1"/>
  <c r="D32" i="99"/>
  <c r="D24" i="78"/>
  <c r="S24" i="78"/>
  <c r="D24" i="114"/>
  <c r="J24" i="114"/>
  <c r="D21" i="108"/>
  <c r="G21" i="108"/>
  <c r="J25" i="112"/>
  <c r="J21" i="107"/>
  <c r="D36" i="114"/>
  <c r="J19" i="107"/>
  <c r="AI24" i="78"/>
  <c r="D26" i="110"/>
  <c r="D32" i="109"/>
  <c r="G19" i="107"/>
  <c r="N21" i="96"/>
  <c r="G35" i="107"/>
  <c r="K37" i="102"/>
  <c r="H21" i="94"/>
  <c r="AJ58" i="78"/>
  <c r="AK58" i="78" s="1"/>
  <c r="S38" i="101"/>
  <c r="AM19" i="102"/>
  <c r="AN19" i="102" s="1"/>
  <c r="W32" i="102"/>
  <c r="AB26" i="78"/>
  <c r="G33" i="78"/>
  <c r="AE71" i="78"/>
  <c r="AH71" i="78"/>
  <c r="D26" i="78"/>
  <c r="J35" i="102"/>
  <c r="AI39" i="78"/>
  <c r="G21" i="113"/>
  <c r="G32" i="114"/>
  <c r="D26" i="107"/>
  <c r="N25" i="96"/>
  <c r="D17" i="109"/>
  <c r="G21" i="72"/>
  <c r="J42" i="109"/>
  <c r="J30" i="107"/>
  <c r="D36" i="112"/>
  <c r="D33" i="107"/>
  <c r="H21" i="72"/>
  <c r="G19" i="96"/>
  <c r="N21" i="72"/>
  <c r="U21" i="72"/>
  <c r="AL26" i="102"/>
  <c r="G71" i="78"/>
  <c r="AI55" i="78"/>
  <c r="X23" i="78"/>
  <c r="Y23" i="78" s="1"/>
  <c r="J25" i="114"/>
  <c r="J19" i="108"/>
  <c r="D32" i="114"/>
  <c r="AE27" i="102"/>
  <c r="W35" i="102"/>
  <c r="V70" i="117"/>
  <c r="AB71" i="78"/>
  <c r="W23" i="78"/>
  <c r="G31" i="108"/>
  <c r="P27" i="102"/>
  <c r="H27" i="118"/>
  <c r="AE35" i="102"/>
  <c r="J31" i="109"/>
  <c r="G37" i="72"/>
  <c r="H20" i="94"/>
  <c r="AJ74" i="78"/>
  <c r="AK74" i="78" s="1"/>
  <c r="AE39" i="78"/>
  <c r="V25" i="96"/>
  <c r="S35" i="102"/>
  <c r="D17" i="114"/>
  <c r="G25" i="113"/>
  <c r="G17" i="110"/>
  <c r="G36" i="107"/>
  <c r="AB41" i="78"/>
  <c r="L41" i="78"/>
  <c r="M41" i="78" s="1"/>
  <c r="D42" i="108"/>
  <c r="G21" i="114"/>
  <c r="D26" i="113"/>
  <c r="D35" i="114"/>
  <c r="G33" i="108"/>
  <c r="D36" i="107"/>
  <c r="P38" i="78"/>
  <c r="J29" i="109"/>
  <c r="N68" i="117"/>
  <c r="D37" i="112"/>
  <c r="G25" i="109"/>
  <c r="V97" i="117"/>
  <c r="J24" i="112"/>
  <c r="L71" i="78"/>
  <c r="M71" i="78" s="1"/>
  <c r="D39" i="78"/>
  <c r="AI35" i="102"/>
  <c r="AH35" i="102"/>
  <c r="AM26" i="102"/>
  <c r="AN26" i="102" s="1"/>
  <c r="AS26" i="99"/>
  <c r="AT26" i="99" s="1"/>
  <c r="P29" i="102"/>
  <c r="D19" i="112"/>
  <c r="D23" i="114"/>
  <c r="D17" i="108"/>
  <c r="D22" i="107"/>
  <c r="AE57" i="78"/>
  <c r="AN26" i="78"/>
  <c r="H19" i="96"/>
  <c r="P55" i="78"/>
  <c r="O26" i="72"/>
  <c r="W33" i="78"/>
  <c r="AI71" i="78"/>
  <c r="K23" i="78"/>
  <c r="AB55" i="78"/>
  <c r="O21" i="72"/>
  <c r="AI26" i="102"/>
  <c r="L23" i="78"/>
  <c r="M23" i="78" s="1"/>
  <c r="D33" i="113"/>
  <c r="W29" i="102"/>
  <c r="D19" i="110"/>
  <c r="J35" i="110"/>
  <c r="H104" i="117"/>
  <c r="D16" i="112"/>
  <c r="J36" i="112"/>
  <c r="G28" i="114"/>
  <c r="AM32" i="102"/>
  <c r="AN32" i="102" s="1"/>
  <c r="J24" i="99"/>
  <c r="X39" i="78"/>
  <c r="Y39" i="78" s="1"/>
  <c r="U25" i="96"/>
  <c r="J39" i="78"/>
  <c r="P39" i="78"/>
  <c r="V23" i="117"/>
  <c r="G31" i="94"/>
  <c r="G25" i="114"/>
  <c r="J19" i="110"/>
  <c r="J17" i="109"/>
  <c r="D31" i="108"/>
  <c r="O97" i="117"/>
  <c r="U68" i="117"/>
  <c r="G24" i="112"/>
  <c r="S27" i="102"/>
  <c r="AN39" i="78"/>
  <c r="O19" i="96"/>
  <c r="O25" i="96"/>
  <c r="AN71" i="78"/>
  <c r="W39" i="78"/>
  <c r="AL35" i="102"/>
  <c r="X29" i="102"/>
  <c r="Y29" i="102" s="1"/>
  <c r="G19" i="112"/>
  <c r="J23" i="114"/>
  <c r="G31" i="109"/>
  <c r="J22" i="107"/>
  <c r="K29" i="102"/>
  <c r="U19" i="96"/>
  <c r="AB39" i="78"/>
  <c r="P26" i="78"/>
  <c r="V26" i="72"/>
  <c r="V39" i="102"/>
  <c r="AE55" i="78"/>
  <c r="K55" i="78"/>
  <c r="L32" i="101"/>
  <c r="K35" i="102"/>
  <c r="V71" i="78"/>
  <c r="J23" i="78"/>
  <c r="U108" i="117"/>
  <c r="G37" i="112"/>
  <c r="D35" i="110"/>
  <c r="J25" i="109"/>
  <c r="G19" i="108"/>
  <c r="G30" i="107"/>
  <c r="V104" i="117"/>
  <c r="G16" i="112"/>
  <c r="J28" i="114"/>
  <c r="G26" i="107"/>
  <c r="J33" i="107"/>
  <c r="K39" i="78"/>
  <c r="V33" i="78"/>
  <c r="O18" i="118"/>
  <c r="N19" i="96"/>
  <c r="V39" i="78"/>
  <c r="J71" i="78"/>
  <c r="AE26" i="78"/>
  <c r="AE33" i="78"/>
  <c r="G35" i="102"/>
  <c r="AM35" i="102"/>
  <c r="AN35" i="102" s="1"/>
  <c r="D21" i="113"/>
  <c r="J17" i="108"/>
  <c r="S19" i="78"/>
  <c r="D42" i="110"/>
  <c r="D42" i="109"/>
  <c r="S55" i="78"/>
  <c r="P23" i="78"/>
  <c r="AH55" i="78"/>
  <c r="H25" i="96"/>
  <c r="D23" i="78"/>
  <c r="AG11" i="79"/>
  <c r="J25" i="107"/>
  <c r="D25" i="107"/>
  <c r="D19" i="113"/>
  <c r="U24" i="117"/>
  <c r="D24" i="113"/>
  <c r="J24" i="113"/>
  <c r="V41" i="78"/>
  <c r="AE38" i="78"/>
  <c r="AN38" i="78"/>
  <c r="L38" i="78"/>
  <c r="M38" i="78" s="1"/>
  <c r="AJ38" i="78"/>
  <c r="AK38" i="78" s="1"/>
  <c r="G19" i="109"/>
  <c r="J19" i="109"/>
  <c r="N30" i="117"/>
  <c r="U69" i="117"/>
  <c r="V100" i="117"/>
  <c r="V30" i="117"/>
  <c r="U40" i="117"/>
  <c r="U90" i="117"/>
  <c r="H61" i="117"/>
  <c r="G24" i="117"/>
  <c r="L33" i="102"/>
  <c r="M33" i="102" s="1"/>
  <c r="N19" i="117"/>
  <c r="O19" i="117"/>
  <c r="J39" i="102"/>
  <c r="AJ39" i="102"/>
  <c r="AK39" i="102" s="1"/>
  <c r="G27" i="96"/>
  <c r="N27" i="96"/>
  <c r="AI27" i="102"/>
  <c r="AL27" i="102"/>
  <c r="AB27" i="102"/>
  <c r="AH26" i="102"/>
  <c r="P26" i="102"/>
  <c r="AJ26" i="102"/>
  <c r="AK26" i="102" s="1"/>
  <c r="L24" i="99"/>
  <c r="M24" i="99" s="1"/>
  <c r="Y24" i="99"/>
  <c r="AI39" i="90"/>
  <c r="W71" i="78"/>
  <c r="D71" i="78"/>
  <c r="AJ71" i="78"/>
  <c r="AK71" i="78" s="1"/>
  <c r="X71" i="78"/>
  <c r="Y71" i="78" s="1"/>
  <c r="H23" i="72"/>
  <c r="U23" i="72"/>
  <c r="V23" i="72"/>
  <c r="W33" i="90"/>
  <c r="K33" i="90"/>
  <c r="H37" i="72"/>
  <c r="V37" i="72"/>
  <c r="O37" i="72"/>
  <c r="N37" i="72"/>
  <c r="P35" i="102"/>
  <c r="L35" i="102"/>
  <c r="M35" i="102" s="1"/>
  <c r="AB35" i="102"/>
  <c r="V35" i="102"/>
  <c r="L55" i="78"/>
  <c r="M55" i="78" s="1"/>
  <c r="J55" i="78"/>
  <c r="W55" i="78"/>
  <c r="AJ55" i="78"/>
  <c r="AK55" i="78" s="1"/>
  <c r="X55" i="78"/>
  <c r="Y55" i="78" s="1"/>
  <c r="D18" i="110"/>
  <c r="G18" i="110"/>
  <c r="AH23" i="78"/>
  <c r="V23" i="78"/>
  <c r="AE23" i="78"/>
  <c r="AN23" i="78"/>
  <c r="D42" i="114"/>
  <c r="G42" i="114"/>
  <c r="J30" i="110"/>
  <c r="G30" i="110"/>
  <c r="D36" i="109"/>
  <c r="J36" i="109"/>
  <c r="S39" i="78"/>
  <c r="AJ39" i="78"/>
  <c r="AK39" i="78" s="1"/>
  <c r="L39" i="78"/>
  <c r="M39" i="78" s="1"/>
  <c r="AH39" i="78"/>
  <c r="O100" i="117"/>
  <c r="V90" i="117"/>
  <c r="N61" i="117"/>
  <c r="G25" i="117"/>
  <c r="O20" i="117"/>
  <c r="N25" i="117"/>
  <c r="N100" i="117"/>
  <c r="D34" i="112"/>
  <c r="J36" i="110"/>
  <c r="G36" i="110"/>
  <c r="AL21" i="102"/>
  <c r="W21" i="102"/>
  <c r="O43" i="101"/>
  <c r="P43" i="101" s="1"/>
  <c r="AH43" i="101"/>
  <c r="K43" i="101"/>
  <c r="AA28" i="101"/>
  <c r="AB28" i="101" s="1"/>
  <c r="AH28" i="101"/>
  <c r="G24" i="96"/>
  <c r="V24" i="96"/>
  <c r="X32" i="102"/>
  <c r="Y32" i="102" s="1"/>
  <c r="AB32" i="102"/>
  <c r="L32" i="102"/>
  <c r="M32" i="102" s="1"/>
  <c r="D74" i="78"/>
  <c r="J74" i="78"/>
  <c r="AB29" i="102"/>
  <c r="AI29" i="102"/>
  <c r="O23" i="117"/>
  <c r="AH29" i="102"/>
  <c r="H24" i="117"/>
  <c r="D32" i="102"/>
  <c r="G90" i="117"/>
  <c r="G61" i="117"/>
  <c r="U61" i="117"/>
  <c r="G68" i="117"/>
  <c r="N24" i="117"/>
  <c r="H25" i="117"/>
  <c r="V25" i="117"/>
  <c r="J27" i="102"/>
  <c r="AJ32" i="102"/>
  <c r="AK32" i="102" s="1"/>
  <c r="AI26" i="78"/>
  <c r="S26" i="78"/>
  <c r="V112" i="117"/>
  <c r="H108" i="117"/>
  <c r="D21" i="102"/>
  <c r="D26" i="102"/>
  <c r="K33" i="101"/>
  <c r="H26" i="117"/>
  <c r="G28" i="110"/>
  <c r="S57" i="78"/>
  <c r="G42" i="110"/>
  <c r="K71" i="78"/>
  <c r="AI23" i="78"/>
  <c r="H24" i="96"/>
  <c r="N23" i="72"/>
  <c r="P71" i="78"/>
  <c r="AJ23" i="78"/>
  <c r="AK23" i="78" s="1"/>
  <c r="G55" i="78"/>
  <c r="D55" i="78"/>
  <c r="G23" i="72"/>
  <c r="K39" i="90"/>
  <c r="N31" i="94"/>
  <c r="D35" i="102"/>
  <c r="X35" i="102"/>
  <c r="Y35" i="102" s="1"/>
  <c r="AB23" i="78"/>
  <c r="AJ78" i="78"/>
  <c r="AK78" i="78" s="1"/>
  <c r="AI19" i="102"/>
  <c r="D78" i="78"/>
  <c r="P59" i="78"/>
  <c r="AN69" i="78"/>
  <c r="S44" i="78"/>
  <c r="AI59" i="78"/>
  <c r="V69" i="78"/>
  <c r="X38" i="102"/>
  <c r="Y38" i="102" s="1"/>
  <c r="AB38" i="102"/>
  <c r="AE22" i="78"/>
  <c r="K22" i="78"/>
  <c r="V31" i="117"/>
  <c r="G31" i="117"/>
  <c r="V34" i="101"/>
  <c r="G34" i="101"/>
  <c r="AN30" i="78"/>
  <c r="K30" i="78"/>
  <c r="J27" i="112"/>
  <c r="G27" i="112"/>
  <c r="D35" i="112"/>
  <c r="G35" i="112"/>
  <c r="H99" i="117"/>
  <c r="N99" i="117"/>
  <c r="AB23" i="102"/>
  <c r="L23" i="102"/>
  <c r="M23" i="102" s="1"/>
  <c r="AR22" i="101"/>
  <c r="Y22" i="101"/>
  <c r="N22" i="101"/>
  <c r="AO19" i="99"/>
  <c r="AR19" i="99"/>
  <c r="K38" i="102"/>
  <c r="K18" i="102"/>
  <c r="O68" i="117"/>
  <c r="W27" i="102"/>
  <c r="G32" i="102"/>
  <c r="AE32" i="102"/>
  <c r="O36" i="96"/>
  <c r="D65" i="78"/>
  <c r="X26" i="78"/>
  <c r="Y26" i="78" s="1"/>
  <c r="V18" i="118"/>
  <c r="K33" i="78"/>
  <c r="S33" i="78"/>
  <c r="V27" i="118"/>
  <c r="W26" i="102"/>
  <c r="K26" i="102"/>
  <c r="N107" i="117"/>
  <c r="V31" i="94"/>
  <c r="V29" i="96"/>
  <c r="U37" i="94"/>
  <c r="W19" i="78"/>
  <c r="AN19" i="78"/>
  <c r="AB74" i="78"/>
  <c r="W26" i="78"/>
  <c r="AP37" i="99"/>
  <c r="AQ37" i="99" s="1"/>
  <c r="J43" i="101"/>
  <c r="G29" i="102"/>
  <c r="W36" i="90"/>
  <c r="AJ26" i="78"/>
  <c r="AK26" i="78" s="1"/>
  <c r="H27" i="96"/>
  <c r="S65" i="78"/>
  <c r="U26" i="72"/>
  <c r="Y23" i="101"/>
  <c r="J23" i="101"/>
  <c r="AE29" i="102"/>
  <c r="N26" i="99"/>
  <c r="J27" i="113"/>
  <c r="U104" i="117"/>
  <c r="G97" i="117"/>
  <c r="U18" i="117"/>
  <c r="K27" i="102"/>
  <c r="G27" i="102"/>
  <c r="J32" i="102"/>
  <c r="AH24" i="99"/>
  <c r="AA21" i="99"/>
  <c r="AB21" i="99" s="1"/>
  <c r="V65" i="78"/>
  <c r="K26" i="78"/>
  <c r="Z28" i="101"/>
  <c r="G33" i="117"/>
  <c r="S29" i="102"/>
  <c r="AL29" i="102"/>
  <c r="J33" i="113"/>
  <c r="V29" i="102"/>
  <c r="P32" i="102"/>
  <c r="O104" i="117"/>
  <c r="U97" i="117"/>
  <c r="X27" i="102"/>
  <c r="Y27" i="102" s="1"/>
  <c r="V27" i="102"/>
  <c r="L27" i="102"/>
  <c r="M27" i="102" s="1"/>
  <c r="V32" i="102"/>
  <c r="AL32" i="102"/>
  <c r="AH32" i="102"/>
  <c r="AA24" i="99"/>
  <c r="AB24" i="99" s="1"/>
  <c r="X33" i="78"/>
  <c r="Y33" i="78" s="1"/>
  <c r="G26" i="78"/>
  <c r="Y21" i="99"/>
  <c r="AN33" i="78"/>
  <c r="AI28" i="90"/>
  <c r="L26" i="78"/>
  <c r="M26" i="78" s="1"/>
  <c r="G39" i="102"/>
  <c r="X26" i="102"/>
  <c r="Y26" i="102" s="1"/>
  <c r="L26" i="102"/>
  <c r="M26" i="102" s="1"/>
  <c r="L29" i="102"/>
  <c r="M29" i="102" s="1"/>
  <c r="H55" i="117"/>
  <c r="D36" i="110"/>
  <c r="AJ29" i="102"/>
  <c r="AK29" i="102" s="1"/>
  <c r="D29" i="102"/>
  <c r="L57" i="78"/>
  <c r="M57" i="78" s="1"/>
  <c r="AC37" i="99"/>
  <c r="AH28" i="99"/>
  <c r="X39" i="102"/>
  <c r="Y39" i="102" s="1"/>
  <c r="J29" i="102"/>
  <c r="AH57" i="78"/>
  <c r="H26" i="72"/>
  <c r="N26" i="72"/>
  <c r="U24" i="96"/>
  <c r="K21" i="102"/>
  <c r="H29" i="117"/>
  <c r="V19" i="72"/>
  <c r="X22" i="78"/>
  <c r="Y22" i="78" s="1"/>
  <c r="AI30" i="78"/>
  <c r="AB36" i="102"/>
  <c r="D37" i="109"/>
  <c r="X30" i="78"/>
  <c r="Y30" i="78" s="1"/>
  <c r="J30" i="78"/>
  <c r="G22" i="78"/>
  <c r="AE53" i="78"/>
  <c r="V23" i="118"/>
  <c r="AE38" i="102"/>
  <c r="K62" i="78"/>
  <c r="S36" i="102"/>
  <c r="J23" i="108"/>
  <c r="H18" i="117"/>
  <c r="D70" i="78"/>
  <c r="L40" i="78"/>
  <c r="M40" i="78" s="1"/>
  <c r="AE28" i="102"/>
  <c r="V44" i="117"/>
  <c r="J21" i="109"/>
  <c r="O18" i="117"/>
  <c r="K40" i="78"/>
  <c r="AE66" i="78"/>
  <c r="AI22" i="78"/>
  <c r="U28" i="94"/>
  <c r="AH66" i="78"/>
  <c r="AE30" i="78"/>
  <c r="AI40" i="78"/>
  <c r="D22" i="78"/>
  <c r="V30" i="78"/>
  <c r="V33" i="96"/>
  <c r="D36" i="113"/>
  <c r="G27" i="113"/>
  <c r="D28" i="107"/>
  <c r="J53" i="78"/>
  <c r="P30" i="78"/>
  <c r="J66" i="78"/>
  <c r="G37" i="101"/>
  <c r="AJ38" i="102"/>
  <c r="AK38" i="102" s="1"/>
  <c r="P68" i="78"/>
  <c r="AH53" i="78"/>
  <c r="AH70" i="78"/>
  <c r="V36" i="102"/>
  <c r="L38" i="102"/>
  <c r="M38" i="102" s="1"/>
  <c r="D17" i="112"/>
  <c r="D27" i="110"/>
  <c r="G29" i="109"/>
  <c r="G35" i="108"/>
  <c r="J41" i="78"/>
  <c r="P70" i="78"/>
  <c r="H78" i="117"/>
  <c r="V59" i="117"/>
  <c r="N39" i="117"/>
  <c r="AM36" i="102"/>
  <c r="AN36" i="102" s="1"/>
  <c r="S38" i="102"/>
  <c r="G17" i="112"/>
  <c r="J21" i="114"/>
  <c r="G33" i="114"/>
  <c r="G27" i="110"/>
  <c r="G23" i="107"/>
  <c r="V62" i="117"/>
  <c r="J42" i="108"/>
  <c r="J16" i="114"/>
  <c r="G30" i="108"/>
  <c r="S18" i="102"/>
  <c r="AS19" i="99"/>
  <c r="AT19" i="99" s="1"/>
  <c r="G27" i="99"/>
  <c r="L23" i="99"/>
  <c r="M23" i="99" s="1"/>
  <c r="AH41" i="78"/>
  <c r="AB70" i="78"/>
  <c r="AB65" i="78"/>
  <c r="D53" i="78"/>
  <c r="S22" i="78"/>
  <c r="K65" i="78"/>
  <c r="V17" i="94"/>
  <c r="K41" i="78"/>
  <c r="AI41" i="78"/>
  <c r="AE70" i="78"/>
  <c r="AI53" i="78"/>
  <c r="AH22" i="78"/>
  <c r="J22" i="78"/>
  <c r="G44" i="117"/>
  <c r="AH23" i="102"/>
  <c r="D28" i="102"/>
  <c r="L29" i="101"/>
  <c r="M29" i="101" s="1"/>
  <c r="U71" i="117"/>
  <c r="AL38" i="102"/>
  <c r="P38" i="102"/>
  <c r="P36" i="102"/>
  <c r="G24" i="113"/>
  <c r="J26" i="114"/>
  <c r="J35" i="114"/>
  <c r="D25" i="110"/>
  <c r="D19" i="109"/>
  <c r="G35" i="109"/>
  <c r="G25" i="108"/>
  <c r="AH35" i="78"/>
  <c r="AN37" i="78"/>
  <c r="D32" i="113"/>
  <c r="V38" i="102"/>
  <c r="D41" i="78"/>
  <c r="J65" i="78"/>
  <c r="J38" i="78"/>
  <c r="AI36" i="90"/>
  <c r="U28" i="72"/>
  <c r="J37" i="101"/>
  <c r="AJ41" i="78"/>
  <c r="AK41" i="78" s="1"/>
  <c r="L65" i="78"/>
  <c r="M65" i="78" s="1"/>
  <c r="N17" i="94"/>
  <c r="AJ70" i="78"/>
  <c r="AK70" i="78" s="1"/>
  <c r="U73" i="117"/>
  <c r="AJ36" i="102"/>
  <c r="AK36" i="102" s="1"/>
  <c r="D38" i="102"/>
  <c r="J29" i="112"/>
  <c r="G33" i="109"/>
  <c r="D35" i="108"/>
  <c r="V34" i="117"/>
  <c r="D32" i="112"/>
  <c r="J22" i="110"/>
  <c r="G34" i="110"/>
  <c r="D30" i="108"/>
  <c r="AA19" i="99"/>
  <c r="AB19" i="99" s="1"/>
  <c r="P41" i="78"/>
  <c r="K70" i="78"/>
  <c r="X65" i="78"/>
  <c r="Y65" i="78" s="1"/>
  <c r="S53" i="78"/>
  <c r="H19" i="118"/>
  <c r="AH65" i="78"/>
  <c r="U17" i="94"/>
  <c r="G41" i="78"/>
  <c r="AE65" i="78"/>
  <c r="AN22" i="78"/>
  <c r="L22" i="78"/>
  <c r="M22" i="78" s="1"/>
  <c r="H19" i="72"/>
  <c r="AJ23" i="102"/>
  <c r="AK23" i="102" s="1"/>
  <c r="K28" i="102"/>
  <c r="Y37" i="101"/>
  <c r="AA17" i="99"/>
  <c r="AB17" i="99" s="1"/>
  <c r="U98" i="117"/>
  <c r="H35" i="117"/>
  <c r="AI38" i="102"/>
  <c r="AH38" i="102"/>
  <c r="G38" i="102"/>
  <c r="K36" i="102"/>
  <c r="AI36" i="102"/>
  <c r="AC22" i="101"/>
  <c r="AD19" i="101"/>
  <c r="AE19" i="101" s="1"/>
  <c r="J25" i="113"/>
  <c r="J25" i="110"/>
  <c r="J25" i="108"/>
  <c r="J33" i="108"/>
  <c r="S62" i="78"/>
  <c r="J32" i="113"/>
  <c r="W28" i="102"/>
  <c r="G38" i="108"/>
  <c r="AN41" i="78"/>
  <c r="X38" i="78"/>
  <c r="Y38" i="78" s="1"/>
  <c r="O28" i="72"/>
  <c r="W41" i="78"/>
  <c r="K36" i="90"/>
  <c r="U19" i="72"/>
  <c r="H28" i="72"/>
  <c r="W53" i="78"/>
  <c r="AN53" i="78"/>
  <c r="X53" i="78"/>
  <c r="Y53" i="78" s="1"/>
  <c r="J36" i="102"/>
  <c r="AP17" i="99"/>
  <c r="AQ17" i="99" s="1"/>
  <c r="D29" i="112"/>
  <c r="D33" i="109"/>
  <c r="G63" i="117"/>
  <c r="G32" i="112"/>
  <c r="D16" i="114"/>
  <c r="G22" i="110"/>
  <c r="L18" i="102"/>
  <c r="M18" i="102" s="1"/>
  <c r="N19" i="99"/>
  <c r="G65" i="78"/>
  <c r="G53" i="78"/>
  <c r="AI65" i="78"/>
  <c r="W65" i="78"/>
  <c r="N19" i="72"/>
  <c r="K23" i="99"/>
  <c r="D38" i="108"/>
  <c r="O59" i="117"/>
  <c r="J23" i="102"/>
  <c r="AO29" i="101"/>
  <c r="K37" i="101"/>
  <c r="AM38" i="102"/>
  <c r="AN38" i="102" s="1"/>
  <c r="W36" i="102"/>
  <c r="AO22" i="101"/>
  <c r="D32" i="110"/>
  <c r="D35" i="109"/>
  <c r="AN65" i="78"/>
  <c r="N28" i="72"/>
  <c r="S41" i="78"/>
  <c r="V28" i="72"/>
  <c r="O17" i="94"/>
  <c r="AB38" i="78"/>
  <c r="D38" i="78"/>
  <c r="AE41" i="78"/>
  <c r="AH22" i="102"/>
  <c r="J34" i="102"/>
  <c r="AI34" i="102"/>
  <c r="K34" i="102"/>
  <c r="S34" i="102"/>
  <c r="L25" i="102"/>
  <c r="M25" i="102" s="1"/>
  <c r="AJ25" i="102"/>
  <c r="AK25" i="102" s="1"/>
  <c r="X72" i="78"/>
  <c r="Y72" i="78" s="1"/>
  <c r="P24" i="78"/>
  <c r="D25" i="78"/>
  <c r="AE72" i="78"/>
  <c r="AN24" i="78"/>
  <c r="D72" i="78"/>
  <c r="AI28" i="78"/>
  <c r="L31" i="78"/>
  <c r="M31" i="78" s="1"/>
  <c r="V28" i="78"/>
  <c r="P25" i="78"/>
  <c r="W24" i="78"/>
  <c r="D37" i="102"/>
  <c r="AH42" i="102"/>
  <c r="D42" i="102"/>
  <c r="L42" i="102"/>
  <c r="M42" i="102" s="1"/>
  <c r="AE22" i="102"/>
  <c r="AB20" i="102"/>
  <c r="AE58" i="78"/>
  <c r="J25" i="78"/>
  <c r="AE37" i="102"/>
  <c r="G58" i="78"/>
  <c r="J58" i="78"/>
  <c r="J22" i="102"/>
  <c r="AE34" i="102"/>
  <c r="W34" i="102"/>
  <c r="G34" i="102"/>
  <c r="G25" i="102"/>
  <c r="AL25" i="102"/>
  <c r="AH67" i="78"/>
  <c r="AE28" i="78"/>
  <c r="G31" i="78"/>
  <c r="J24" i="78"/>
  <c r="AJ72" i="78"/>
  <c r="AK72" i="78" s="1"/>
  <c r="AH72" i="78"/>
  <c r="AH28" i="78"/>
  <c r="W31" i="78"/>
  <c r="L25" i="78"/>
  <c r="M25" i="78" s="1"/>
  <c r="V24" i="78"/>
  <c r="S72" i="78"/>
  <c r="AI37" i="102"/>
  <c r="AB22" i="102"/>
  <c r="AJ42" i="102"/>
  <c r="AK42" i="102" s="1"/>
  <c r="S42" i="102"/>
  <c r="Y42" i="102"/>
  <c r="W22" i="102"/>
  <c r="K22" i="102"/>
  <c r="S22" i="102"/>
  <c r="G20" i="102"/>
  <c r="S58" i="78"/>
  <c r="AE31" i="78"/>
  <c r="K31" i="78"/>
  <c r="W25" i="78"/>
  <c r="J37" i="102"/>
  <c r="AM22" i="102"/>
  <c r="AN22" i="102" s="1"/>
  <c r="L60" i="78"/>
  <c r="M60" i="78" s="1"/>
  <c r="X25" i="78"/>
  <c r="Y25" i="78" s="1"/>
  <c r="AH34" i="102"/>
  <c r="X34" i="102"/>
  <c r="Y34" i="102" s="1"/>
  <c r="V72" i="78"/>
  <c r="X31" i="78"/>
  <c r="Y31" i="78" s="1"/>
  <c r="AN28" i="78"/>
  <c r="L72" i="78"/>
  <c r="M72" i="78" s="1"/>
  <c r="X24" i="78"/>
  <c r="Y24" i="78" s="1"/>
  <c r="S31" i="78"/>
  <c r="P22" i="102"/>
  <c r="J42" i="102"/>
  <c r="AL42" i="102"/>
  <c r="K42" i="102"/>
  <c r="AL22" i="102"/>
  <c r="V22" i="102"/>
  <c r="L22" i="102"/>
  <c r="M22" i="102" s="1"/>
  <c r="X20" i="102"/>
  <c r="Y20" i="102" s="1"/>
  <c r="D75" i="78"/>
  <c r="G37" i="102"/>
  <c r="AN42" i="102"/>
  <c r="AJ22" i="102"/>
  <c r="AK22" i="102" s="1"/>
  <c r="AB58" i="78"/>
  <c r="AB31" i="78"/>
  <c r="V25" i="78"/>
  <c r="W58" i="78"/>
  <c r="N73" i="117"/>
  <c r="G59" i="117"/>
  <c r="U39" i="117"/>
  <c r="N34" i="99"/>
  <c r="S17" i="99"/>
  <c r="G27" i="108"/>
  <c r="U99" i="117"/>
  <c r="U62" i="117"/>
  <c r="U63" i="117"/>
  <c r="G18" i="108"/>
  <c r="J34" i="108"/>
  <c r="D19" i="99"/>
  <c r="L19" i="99"/>
  <c r="M19" i="99" s="1"/>
  <c r="K19" i="99"/>
  <c r="O78" i="117"/>
  <c r="H18" i="96"/>
  <c r="J27" i="99"/>
  <c r="Z23" i="99"/>
  <c r="O44" i="117"/>
  <c r="H73" i="117"/>
  <c r="N59" i="117"/>
  <c r="D27" i="108"/>
  <c r="J28" i="107"/>
  <c r="V99" i="117"/>
  <c r="O62" i="117"/>
  <c r="O63" i="117"/>
  <c r="N34" i="117"/>
  <c r="AC19" i="99"/>
  <c r="Z19" i="99"/>
  <c r="AP19" i="99"/>
  <c r="AQ19" i="99" s="1"/>
  <c r="O19" i="99"/>
  <c r="P19" i="99" s="1"/>
  <c r="V78" i="117"/>
  <c r="H59" i="117"/>
  <c r="V39" i="117"/>
  <c r="AC29" i="101"/>
  <c r="AP37" i="101"/>
  <c r="AQ37" i="101" s="1"/>
  <c r="V37" i="101"/>
  <c r="AN37" i="101"/>
  <c r="N98" i="117"/>
  <c r="V53" i="117"/>
  <c r="G71" i="117"/>
  <c r="U35" i="117"/>
  <c r="G35" i="117"/>
  <c r="D30" i="109"/>
  <c r="AK22" i="101"/>
  <c r="AH22" i="101"/>
  <c r="D26" i="114"/>
  <c r="J32" i="110"/>
  <c r="G28" i="108"/>
  <c r="D27" i="112"/>
  <c r="G34" i="113"/>
  <c r="J27" i="114"/>
  <c r="G29" i="108"/>
  <c r="AC34" i="101"/>
  <c r="AR38" i="101"/>
  <c r="AQ38" i="101"/>
  <c r="V21" i="94"/>
  <c r="U31" i="117"/>
  <c r="H44" i="117"/>
  <c r="H39" i="117"/>
  <c r="K17" i="99"/>
  <c r="G36" i="113"/>
  <c r="G29" i="114"/>
  <c r="D37" i="114"/>
  <c r="G37" i="109"/>
  <c r="G23" i="108"/>
  <c r="N62" i="117"/>
  <c r="H62" i="117"/>
  <c r="U34" i="117"/>
  <c r="G22" i="113"/>
  <c r="S19" i="99"/>
  <c r="AK19" i="99"/>
  <c r="V19" i="99"/>
  <c r="G19" i="99"/>
  <c r="N78" i="117"/>
  <c r="V34" i="118"/>
  <c r="O32" i="118"/>
  <c r="V18" i="96"/>
  <c r="Y27" i="99"/>
  <c r="U78" i="117"/>
  <c r="O39" i="117"/>
  <c r="U44" i="117"/>
  <c r="AP29" i="101"/>
  <c r="AQ29" i="101" s="1"/>
  <c r="AN29" i="101"/>
  <c r="D22" i="112"/>
  <c r="AO37" i="101"/>
  <c r="AD37" i="101"/>
  <c r="AE37" i="101" s="1"/>
  <c r="AC37" i="101"/>
  <c r="AR17" i="99"/>
  <c r="O98" i="117"/>
  <c r="N53" i="117"/>
  <c r="O35" i="117"/>
  <c r="J22" i="101"/>
  <c r="L22" i="101"/>
  <c r="M22" i="101" s="1"/>
  <c r="Z22" i="101"/>
  <c r="AC19" i="101"/>
  <c r="J30" i="113"/>
  <c r="J17" i="113"/>
  <c r="J35" i="112"/>
  <c r="D21" i="110"/>
  <c r="J29" i="110"/>
  <c r="V35" i="118"/>
  <c r="N36" i="72"/>
  <c r="J38" i="101"/>
  <c r="D29" i="114"/>
  <c r="H34" i="118"/>
  <c r="O73" i="117"/>
  <c r="J27" i="107"/>
  <c r="N37" i="101"/>
  <c r="S37" i="101"/>
  <c r="V35" i="117"/>
  <c r="AA22" i="101"/>
  <c r="AB22" i="101" s="1"/>
  <c r="G22" i="112"/>
  <c r="G30" i="113"/>
  <c r="J23" i="112"/>
  <c r="J34" i="113"/>
  <c r="G27" i="114"/>
  <c r="D29" i="110"/>
  <c r="O35" i="118"/>
  <c r="H31" i="117"/>
  <c r="L58" i="78"/>
  <c r="M58" i="78" s="1"/>
  <c r="V31" i="78"/>
  <c r="P37" i="102"/>
  <c r="S37" i="102"/>
  <c r="AJ37" i="102"/>
  <c r="AK37" i="102" s="1"/>
  <c r="W42" i="102"/>
  <c r="AI42" i="102"/>
  <c r="AH38" i="101"/>
  <c r="G38" i="101"/>
  <c r="Y38" i="101"/>
  <c r="G30" i="94"/>
  <c r="H26" i="96"/>
  <c r="X58" i="78"/>
  <c r="Y58" i="78" s="1"/>
  <c r="AE25" i="78"/>
  <c r="AL37" i="102"/>
  <c r="Y41" i="78"/>
  <c r="AJ65" i="78"/>
  <c r="AK65" i="78" s="1"/>
  <c r="AI38" i="78"/>
  <c r="O31" i="117"/>
  <c r="AI25" i="90"/>
  <c r="AH31" i="78"/>
  <c r="P58" i="78"/>
  <c r="AI25" i="78"/>
  <c r="AI58" i="78"/>
  <c r="D38" i="101"/>
  <c r="AJ31" i="78"/>
  <c r="AK31" i="78" s="1"/>
  <c r="P69" i="78"/>
  <c r="G69" i="78"/>
  <c r="K69" i="78"/>
  <c r="G38" i="78"/>
  <c r="O19" i="72"/>
  <c r="V37" i="102"/>
  <c r="V42" i="102"/>
  <c r="O38" i="101"/>
  <c r="P38" i="101" s="1"/>
  <c r="AO38" i="101"/>
  <c r="N30" i="94"/>
  <c r="AK38" i="101"/>
  <c r="G26" i="96"/>
  <c r="K58" i="78"/>
  <c r="AB25" i="78"/>
  <c r="J31" i="78"/>
  <c r="L37" i="102"/>
  <c r="M37" i="102" s="1"/>
  <c r="N31" i="117"/>
  <c r="K25" i="78"/>
  <c r="AN58" i="78"/>
  <c r="AN31" i="78"/>
  <c r="D58" i="78"/>
  <c r="Z38" i="101"/>
  <c r="G25" i="78"/>
  <c r="S38" i="78"/>
  <c r="AH38" i="78"/>
  <c r="AM37" i="102"/>
  <c r="AN37" i="102" s="1"/>
  <c r="K38" i="101"/>
  <c r="AN25" i="78"/>
  <c r="P31" i="78"/>
  <c r="V38" i="78"/>
  <c r="K38" i="78"/>
  <c r="K19" i="90"/>
  <c r="AN35" i="78"/>
  <c r="X35" i="78"/>
  <c r="Y35" i="78" s="1"/>
  <c r="AE35" i="78"/>
  <c r="V35" i="78"/>
  <c r="AJ35" i="78"/>
  <c r="AK35" i="78" s="1"/>
  <c r="K35" i="78"/>
  <c r="J35" i="78"/>
  <c r="AB35" i="78"/>
  <c r="AD18" i="101"/>
  <c r="AE18" i="101" s="1"/>
  <c r="J18" i="101"/>
  <c r="AK18" i="101"/>
  <c r="AA25" i="99"/>
  <c r="AB25" i="99" s="1"/>
  <c r="AO25" i="99"/>
  <c r="AS25" i="99"/>
  <c r="AT25" i="99" s="1"/>
  <c r="V36" i="96"/>
  <c r="D27" i="78"/>
  <c r="V19" i="118"/>
  <c r="AN38" i="99"/>
  <c r="H28" i="94"/>
  <c r="P27" i="78"/>
  <c r="AJ62" i="78"/>
  <c r="AK62" i="78" s="1"/>
  <c r="AE62" i="78"/>
  <c r="D20" i="102"/>
  <c r="S20" i="102"/>
  <c r="AL20" i="102"/>
  <c r="AM20" i="102"/>
  <c r="AN20" i="102" s="1"/>
  <c r="AI20" i="102"/>
  <c r="AK34" i="101"/>
  <c r="AA34" i="101"/>
  <c r="AB34" i="101" s="1"/>
  <c r="Z34" i="101"/>
  <c r="K34" i="101"/>
  <c r="AP34" i="101"/>
  <c r="AQ34" i="101" s="1"/>
  <c r="AR34" i="101"/>
  <c r="L34" i="101"/>
  <c r="M34" i="101" s="1"/>
  <c r="N34" i="101"/>
  <c r="D34" i="101"/>
  <c r="AD34" i="101"/>
  <c r="AE34" i="101" s="1"/>
  <c r="J34" i="101"/>
  <c r="O34" i="101"/>
  <c r="P34" i="101" s="1"/>
  <c r="AS34" i="101"/>
  <c r="AT34" i="101" s="1"/>
  <c r="S34" i="101"/>
  <c r="Y34" i="101"/>
  <c r="AH34" i="101"/>
  <c r="AJ30" i="78"/>
  <c r="AK30" i="78" s="1"/>
  <c r="W30" i="78"/>
  <c r="AH30" i="78"/>
  <c r="G30" i="78"/>
  <c r="D30" i="78"/>
  <c r="S30" i="78"/>
  <c r="G28" i="109"/>
  <c r="J28" i="109"/>
  <c r="W66" i="78"/>
  <c r="D66" i="78"/>
  <c r="K66" i="78"/>
  <c r="AJ66" i="78"/>
  <c r="AK66" i="78" s="1"/>
  <c r="P66" i="78"/>
  <c r="G35" i="113"/>
  <c r="J35" i="113"/>
  <c r="D35" i="113"/>
  <c r="D33" i="110"/>
  <c r="G33" i="110"/>
  <c r="AJ40" i="78"/>
  <c r="AK40" i="78" s="1"/>
  <c r="S40" i="78"/>
  <c r="D40" i="78"/>
  <c r="G33" i="112"/>
  <c r="G37" i="114"/>
  <c r="G21" i="109"/>
  <c r="AA18" i="101"/>
  <c r="AB18" i="101" s="1"/>
  <c r="D18" i="113"/>
  <c r="D18" i="108"/>
  <c r="AS18" i="101"/>
  <c r="AT18" i="101" s="1"/>
  <c r="V18" i="101"/>
  <c r="AC18" i="101"/>
  <c r="AH25" i="99"/>
  <c r="Y25" i="99"/>
  <c r="AP25" i="99"/>
  <c r="AQ25" i="99" s="1"/>
  <c r="N28" i="94"/>
  <c r="X66" i="78"/>
  <c r="Y66" i="78" s="1"/>
  <c r="AB30" i="78"/>
  <c r="AB40" i="78"/>
  <c r="J40" i="78"/>
  <c r="V38" i="99"/>
  <c r="AN40" i="78"/>
  <c r="V28" i="94"/>
  <c r="G66" i="78"/>
  <c r="AI66" i="78"/>
  <c r="L30" i="78"/>
  <c r="M30" i="78" s="1"/>
  <c r="V40" i="78"/>
  <c r="N24" i="72"/>
  <c r="P40" i="78"/>
  <c r="O24" i="94"/>
  <c r="AE20" i="102"/>
  <c r="P20" i="102"/>
  <c r="G23" i="112"/>
  <c r="J33" i="110"/>
  <c r="G27" i="109"/>
  <c r="J29" i="108"/>
  <c r="L37" i="78"/>
  <c r="M37" i="78" s="1"/>
  <c r="G37" i="78"/>
  <c r="AB37" i="78"/>
  <c r="L35" i="78"/>
  <c r="M35" i="78" s="1"/>
  <c r="AO34" i="101"/>
  <c r="AH40" i="78"/>
  <c r="K19" i="102"/>
  <c r="AL19" i="102"/>
  <c r="D19" i="102"/>
  <c r="AE19" i="102"/>
  <c r="P19" i="102"/>
  <c r="AB19" i="102"/>
  <c r="AH32" i="78"/>
  <c r="D32" i="78"/>
  <c r="L32" i="78"/>
  <c r="M32" i="78" s="1"/>
  <c r="K32" i="78"/>
  <c r="X32" i="78"/>
  <c r="Y32" i="78" s="1"/>
  <c r="P32" i="78"/>
  <c r="AB32" i="78"/>
  <c r="S32" i="78"/>
  <c r="V32" i="78"/>
  <c r="J32" i="78"/>
  <c r="AE32" i="78"/>
  <c r="W32" i="78"/>
  <c r="G32" i="78"/>
  <c r="AN32" i="78"/>
  <c r="AB78" i="78"/>
  <c r="AN78" i="78"/>
  <c r="S78" i="78"/>
  <c r="G78" i="78"/>
  <c r="AH78" i="78"/>
  <c r="V78" i="78"/>
  <c r="AI40" i="90"/>
  <c r="V62" i="78"/>
  <c r="G62" i="78"/>
  <c r="L62" i="78"/>
  <c r="M62" i="78" s="1"/>
  <c r="D62" i="78"/>
  <c r="P62" i="78"/>
  <c r="AI62" i="78"/>
  <c r="J62" i="78"/>
  <c r="AH62" i="78"/>
  <c r="AB62" i="78"/>
  <c r="V37" i="78"/>
  <c r="S37" i="78"/>
  <c r="AI37" i="78"/>
  <c r="W37" i="78"/>
  <c r="K37" i="78"/>
  <c r="AH37" i="78"/>
  <c r="AJ37" i="78"/>
  <c r="AK37" i="78" s="1"/>
  <c r="D37" i="78"/>
  <c r="P37" i="78"/>
  <c r="D25" i="99"/>
  <c r="P35" i="78"/>
  <c r="AI35" i="78"/>
  <c r="X37" i="78"/>
  <c r="Y37" i="78" s="1"/>
  <c r="D24" i="107"/>
  <c r="G24" i="107"/>
  <c r="D33" i="112"/>
  <c r="N18" i="101"/>
  <c r="D22" i="113"/>
  <c r="D34" i="108"/>
  <c r="O18" i="101"/>
  <c r="P18" i="101" s="1"/>
  <c r="K18" i="101"/>
  <c r="AN18" i="101"/>
  <c r="V25" i="99"/>
  <c r="AK25" i="99"/>
  <c r="U36" i="96"/>
  <c r="S66" i="78"/>
  <c r="U36" i="72"/>
  <c r="V28" i="118"/>
  <c r="X40" i="78"/>
  <c r="Y40" i="78" s="1"/>
  <c r="G36" i="72"/>
  <c r="G28" i="94"/>
  <c r="V66" i="78"/>
  <c r="W40" i="78"/>
  <c r="G40" i="78"/>
  <c r="V36" i="72"/>
  <c r="AN66" i="78"/>
  <c r="W20" i="102"/>
  <c r="AH20" i="102"/>
  <c r="L20" i="102"/>
  <c r="M20" i="102" s="1"/>
  <c r="D17" i="113"/>
  <c r="G21" i="110"/>
  <c r="D27" i="109"/>
  <c r="W40" i="90"/>
  <c r="AI19" i="90"/>
  <c r="J37" i="78"/>
  <c r="AN62" i="78"/>
  <c r="S35" i="78"/>
  <c r="W62" i="78"/>
  <c r="W35" i="78"/>
  <c r="G35" i="78"/>
  <c r="D28" i="109"/>
  <c r="AN34" i="101"/>
  <c r="N71" i="117"/>
  <c r="H71" i="117"/>
  <c r="V71" i="117"/>
  <c r="U53" i="117"/>
  <c r="G53" i="117"/>
  <c r="H53" i="117"/>
  <c r="V98" i="117"/>
  <c r="H98" i="117"/>
  <c r="AB28" i="102"/>
  <c r="AM28" i="102"/>
  <c r="AN28" i="102" s="1"/>
  <c r="K23" i="102"/>
  <c r="G23" i="102"/>
  <c r="L36" i="102"/>
  <c r="M36" i="102" s="1"/>
  <c r="AE36" i="102"/>
  <c r="D36" i="102"/>
  <c r="N29" i="101"/>
  <c r="AR29" i="101"/>
  <c r="D36" i="90"/>
  <c r="P33" i="90"/>
  <c r="AB33" i="90"/>
  <c r="J33" i="90"/>
  <c r="G33" i="90"/>
  <c r="E11" i="104"/>
  <c r="G8" i="104"/>
  <c r="F47" i="104"/>
  <c r="F41" i="104"/>
  <c r="E14" i="104"/>
  <c r="E32" i="104"/>
  <c r="G27" i="104"/>
  <c r="F17" i="104"/>
  <c r="E38" i="104"/>
  <c r="G33" i="104"/>
  <c r="F23" i="104"/>
  <c r="E44" i="104"/>
  <c r="E20" i="104"/>
  <c r="G39" i="104"/>
  <c r="G15" i="104"/>
  <c r="F29" i="104"/>
  <c r="E50" i="104"/>
  <c r="E26" i="104"/>
  <c r="G45" i="104"/>
  <c r="G21" i="104"/>
  <c r="F35" i="104"/>
  <c r="C11" i="102"/>
  <c r="AA11" i="102" s="1"/>
  <c r="C11" i="98"/>
  <c r="C11" i="118"/>
  <c r="Q11" i="118" s="1"/>
  <c r="G7" i="104"/>
  <c r="E48" i="104"/>
  <c r="E42" i="104"/>
  <c r="E36" i="104"/>
  <c r="E30" i="104"/>
  <c r="E24" i="104"/>
  <c r="E18" i="104"/>
  <c r="G50" i="104"/>
  <c r="G44" i="104"/>
  <c r="G38" i="104"/>
  <c r="G32" i="104"/>
  <c r="G26" i="104"/>
  <c r="G20" i="104"/>
  <c r="F51" i="104"/>
  <c r="F45" i="104"/>
  <c r="F39" i="104"/>
  <c r="F33" i="104"/>
  <c r="F27" i="104"/>
  <c r="F21" i="104"/>
  <c r="F15" i="104"/>
  <c r="F12" i="104"/>
  <c r="D8" i="104"/>
  <c r="C11" i="79"/>
  <c r="E47" i="104"/>
  <c r="E41" i="104"/>
  <c r="E35" i="104"/>
  <c r="E29" i="104"/>
  <c r="E23" i="104"/>
  <c r="E17" i="104"/>
  <c r="G48" i="104"/>
  <c r="G42" i="104"/>
  <c r="G36" i="104"/>
  <c r="G30" i="104"/>
  <c r="G24" i="104"/>
  <c r="G18" i="104"/>
  <c r="F50" i="104"/>
  <c r="F44" i="104"/>
  <c r="F38" i="104"/>
  <c r="F32" i="104"/>
  <c r="F26" i="104"/>
  <c r="F20" i="104"/>
  <c r="F14" i="104"/>
  <c r="F11" i="104"/>
  <c r="D6" i="104"/>
  <c r="C11" i="97"/>
  <c r="E51" i="104"/>
  <c r="E45" i="104"/>
  <c r="E39" i="104"/>
  <c r="E33" i="104"/>
  <c r="E27" i="104"/>
  <c r="E21" i="104"/>
  <c r="E15" i="104"/>
  <c r="E12" i="104"/>
  <c r="G6" i="104"/>
  <c r="G47" i="104"/>
  <c r="G41" i="104"/>
  <c r="G35" i="104"/>
  <c r="G29" i="104"/>
  <c r="G23" i="104"/>
  <c r="G17" i="104"/>
  <c r="F48" i="104"/>
  <c r="F42" i="104"/>
  <c r="F36" i="104"/>
  <c r="F30" i="104"/>
  <c r="F24" i="104"/>
  <c r="F18" i="104"/>
  <c r="Z47" i="78"/>
  <c r="AL47" i="78"/>
  <c r="G51" i="104"/>
  <c r="D47" i="104"/>
  <c r="D41" i="104"/>
  <c r="D35" i="104"/>
  <c r="D29" i="104"/>
  <c r="D23" i="104"/>
  <c r="D17" i="104"/>
  <c r="G12" i="104"/>
  <c r="E8" i="104"/>
  <c r="D51" i="104"/>
  <c r="D45" i="104"/>
  <c r="D39" i="104"/>
  <c r="D33" i="104"/>
  <c r="D27" i="104"/>
  <c r="D21" i="104"/>
  <c r="D15" i="104"/>
  <c r="D12" i="104"/>
  <c r="F6" i="104"/>
  <c r="D50" i="104"/>
  <c r="D44" i="104"/>
  <c r="D38" i="104"/>
  <c r="D32" i="104"/>
  <c r="D26" i="104"/>
  <c r="D20" i="104"/>
  <c r="G14" i="104"/>
  <c r="G11" i="104"/>
  <c r="E6" i="104"/>
  <c r="D48" i="104"/>
  <c r="D42" i="104"/>
  <c r="D36" i="104"/>
  <c r="D30" i="104"/>
  <c r="D24" i="104"/>
  <c r="D18" i="104"/>
  <c r="D14" i="104"/>
  <c r="D11" i="104"/>
  <c r="F8" i="104"/>
  <c r="R11" i="79"/>
  <c r="G108" i="117"/>
  <c r="G23" i="117"/>
  <c r="G104" i="117"/>
  <c r="H97" i="117"/>
  <c r="H68" i="117"/>
  <c r="G18" i="117"/>
  <c r="V22" i="118"/>
  <c r="L30" i="99"/>
  <c r="M30" i="99" s="1"/>
  <c r="Y30" i="99"/>
  <c r="V73" i="117"/>
  <c r="U23" i="117"/>
  <c r="N108" i="117"/>
  <c r="L39" i="102"/>
  <c r="M39" i="102" s="1"/>
  <c r="S21" i="102"/>
  <c r="AK28" i="101"/>
  <c r="V55" i="117"/>
  <c r="V19" i="117"/>
  <c r="Z32" i="101"/>
  <c r="X21" i="102"/>
  <c r="Y21" i="102" s="1"/>
  <c r="AD28" i="101"/>
  <c r="AE28" i="101" s="1"/>
  <c r="V18" i="117"/>
  <c r="H22" i="118"/>
  <c r="H23" i="118"/>
  <c r="H23" i="117"/>
  <c r="O108" i="117"/>
  <c r="J19" i="99"/>
  <c r="AH19" i="99"/>
  <c r="AH17" i="99"/>
  <c r="D17" i="99"/>
  <c r="AD17" i="99"/>
  <c r="AE17" i="99" s="1"/>
  <c r="G17" i="99"/>
  <c r="D34" i="99"/>
  <c r="AK34" i="99"/>
  <c r="AO34" i="99"/>
  <c r="AN21" i="90"/>
  <c r="K21" i="90"/>
  <c r="W21" i="90"/>
  <c r="AB25" i="102"/>
  <c r="J25" i="102"/>
  <c r="AB24" i="78"/>
  <c r="AE24" i="78"/>
  <c r="L24" i="78"/>
  <c r="M24" i="78" s="1"/>
  <c r="V20" i="72"/>
  <c r="H20" i="72"/>
  <c r="U20" i="72"/>
  <c r="O20" i="72"/>
  <c r="K30" i="90"/>
  <c r="G28" i="113"/>
  <c r="D28" i="113"/>
  <c r="G23" i="109"/>
  <c r="D23" i="109"/>
  <c r="D29" i="107"/>
  <c r="G29" i="107"/>
  <c r="D26" i="112"/>
  <c r="G26" i="112"/>
  <c r="D20" i="110"/>
  <c r="G20" i="110"/>
  <c r="D34" i="109"/>
  <c r="J34" i="109"/>
  <c r="J32" i="108"/>
  <c r="G32" i="108"/>
  <c r="G29" i="117"/>
  <c r="V29" i="117"/>
  <c r="N29" i="117"/>
  <c r="U29" i="117"/>
  <c r="D22" i="114"/>
  <c r="J22" i="114"/>
  <c r="G22" i="114"/>
  <c r="U55" i="117"/>
  <c r="O55" i="117"/>
  <c r="G55" i="117"/>
  <c r="U70" i="117"/>
  <c r="N70" i="117"/>
  <c r="G70" i="117"/>
  <c r="O70" i="117"/>
  <c r="U107" i="117"/>
  <c r="H107" i="117"/>
  <c r="V107" i="117"/>
  <c r="G107" i="117"/>
  <c r="N72" i="117"/>
  <c r="U72" i="117"/>
  <c r="O72" i="117"/>
  <c r="V72" i="117"/>
  <c r="H72" i="117"/>
  <c r="U66" i="117"/>
  <c r="O66" i="117"/>
  <c r="N66" i="117"/>
  <c r="H66" i="117"/>
  <c r="V66" i="117"/>
  <c r="N87" i="117"/>
  <c r="G87" i="117"/>
  <c r="H87" i="117"/>
  <c r="V87" i="117"/>
  <c r="U87" i="117"/>
  <c r="O33" i="117"/>
  <c r="V33" i="117"/>
  <c r="N33" i="117"/>
  <c r="U33" i="117"/>
  <c r="U19" i="117"/>
  <c r="H19" i="117"/>
  <c r="G19" i="117"/>
  <c r="G32" i="107"/>
  <c r="D32" i="107"/>
  <c r="J32" i="107"/>
  <c r="J18" i="107"/>
  <c r="G18" i="107"/>
  <c r="P21" i="102"/>
  <c r="L21" i="102"/>
  <c r="M21" i="102" s="1"/>
  <c r="AE21" i="102"/>
  <c r="AM21" i="102"/>
  <c r="AN21" i="102" s="1"/>
  <c r="AI21" i="102"/>
  <c r="AJ21" i="102"/>
  <c r="AK21" i="102" s="1"/>
  <c r="J21" i="102"/>
  <c r="G21" i="102"/>
  <c r="V21" i="102"/>
  <c r="AB21" i="102"/>
  <c r="AE39" i="102"/>
  <c r="D39" i="102"/>
  <c r="AM39" i="102"/>
  <c r="AN39" i="102" s="1"/>
  <c r="K39" i="102"/>
  <c r="AI39" i="102"/>
  <c r="AH39" i="102"/>
  <c r="AL39" i="102"/>
  <c r="P39" i="102"/>
  <c r="AB39" i="102"/>
  <c r="S39" i="102"/>
  <c r="AN43" i="101"/>
  <c r="AO43" i="101"/>
  <c r="G43" i="101"/>
  <c r="AD43" i="101"/>
  <c r="AE43" i="101" s="1"/>
  <c r="Y43" i="101"/>
  <c r="Z43" i="101"/>
  <c r="S43" i="101"/>
  <c r="L43" i="101"/>
  <c r="M43" i="101" s="1"/>
  <c r="AC43" i="101"/>
  <c r="AR43" i="101"/>
  <c r="AP43" i="101"/>
  <c r="AQ43" i="101" s="1"/>
  <c r="AK43" i="101"/>
  <c r="N43" i="101"/>
  <c r="D43" i="101"/>
  <c r="AA43" i="101"/>
  <c r="AB43" i="101" s="1"/>
  <c r="AS43" i="101"/>
  <c r="AT43" i="101" s="1"/>
  <c r="D28" i="101"/>
  <c r="L28" i="101"/>
  <c r="M28" i="101" s="1"/>
  <c r="N28" i="101"/>
  <c r="AO28" i="101"/>
  <c r="AN28" i="101"/>
  <c r="AS28" i="101"/>
  <c r="AT28" i="101" s="1"/>
  <c r="S28" i="101"/>
  <c r="G28" i="101"/>
  <c r="V28" i="101"/>
  <c r="K28" i="101"/>
  <c r="O28" i="101"/>
  <c r="P28" i="101" s="1"/>
  <c r="AP28" i="101"/>
  <c r="AQ28" i="101" s="1"/>
  <c r="J28" i="101"/>
  <c r="AR28" i="101"/>
  <c r="AC28" i="101"/>
  <c r="S30" i="99"/>
  <c r="AR30" i="99"/>
  <c r="V30" i="99"/>
  <c r="AS30" i="99"/>
  <c r="AT30" i="99" s="1"/>
  <c r="AK30" i="99"/>
  <c r="AN30" i="99"/>
  <c r="G37" i="96"/>
  <c r="V37" i="96"/>
  <c r="U33" i="94"/>
  <c r="O33" i="94"/>
  <c r="AE75" i="78"/>
  <c r="V75" i="78"/>
  <c r="P75" i="78"/>
  <c r="X75" i="78"/>
  <c r="Y75" i="78" s="1"/>
  <c r="W75" i="78"/>
  <c r="L75" i="78"/>
  <c r="M75" i="78" s="1"/>
  <c r="W72" i="78"/>
  <c r="AB72" i="78"/>
  <c r="H33" i="72"/>
  <c r="G33" i="72"/>
  <c r="S32" i="101"/>
  <c r="AA32" i="101"/>
  <c r="AB32" i="101" s="1"/>
  <c r="D32" i="101"/>
  <c r="AS32" i="101"/>
  <c r="AT32" i="101" s="1"/>
  <c r="N32" i="101"/>
  <c r="O32" i="101"/>
  <c r="P32" i="101" s="1"/>
  <c r="AR32" i="101"/>
  <c r="AH32" i="101"/>
  <c r="AP32" i="101"/>
  <c r="AQ32" i="101" s="1"/>
  <c r="AK32" i="101"/>
  <c r="AB33" i="78"/>
  <c r="D33" i="78"/>
  <c r="L33" i="78"/>
  <c r="M33" i="78" s="1"/>
  <c r="J33" i="78"/>
  <c r="J36" i="78"/>
  <c r="W36" i="78"/>
  <c r="AB36" i="78"/>
  <c r="G36" i="78"/>
  <c r="D36" i="78"/>
  <c r="K36" i="78"/>
  <c r="L36" i="78"/>
  <c r="M36" i="78" s="1"/>
  <c r="V36" i="78"/>
  <c r="AI36" i="78"/>
  <c r="X36" i="78"/>
  <c r="Y36" i="78" s="1"/>
  <c r="K19" i="78"/>
  <c r="AE19" i="78"/>
  <c r="G19" i="78"/>
  <c r="V19" i="78"/>
  <c r="AI19" i="78"/>
  <c r="J19" i="78"/>
  <c r="AB19" i="78"/>
  <c r="X19" i="78"/>
  <c r="Y19" i="78" s="1"/>
  <c r="G32" i="94"/>
  <c r="U32" i="94"/>
  <c r="AN19" i="101"/>
  <c r="V19" i="101"/>
  <c r="N19" i="101"/>
  <c r="L19" i="101"/>
  <c r="M19" i="101" s="1"/>
  <c r="S19" i="101"/>
  <c r="AS19" i="101"/>
  <c r="AT19" i="101" s="1"/>
  <c r="K19" i="101"/>
  <c r="Y19" i="101"/>
  <c r="Z36" i="99"/>
  <c r="AS36" i="99"/>
  <c r="AT36" i="99" s="1"/>
  <c r="O36" i="99"/>
  <c r="P36" i="99" s="1"/>
  <c r="O20" i="96"/>
  <c r="U20" i="96"/>
  <c r="V20" i="96"/>
  <c r="V34" i="96"/>
  <c r="O34" i="96"/>
  <c r="U34" i="96"/>
  <c r="W26" i="90"/>
  <c r="AE56" i="78"/>
  <c r="AJ56" i="78"/>
  <c r="AK56" i="78" s="1"/>
  <c r="J56" i="78"/>
  <c r="S56" i="78"/>
  <c r="X56" i="78"/>
  <c r="Y56" i="78" s="1"/>
  <c r="D18" i="102"/>
  <c r="H16" i="118"/>
  <c r="V16" i="118"/>
  <c r="D26" i="109"/>
  <c r="J26" i="109"/>
  <c r="U100" i="117"/>
  <c r="G100" i="117"/>
  <c r="N89" i="117"/>
  <c r="H89" i="117"/>
  <c r="O96" i="117"/>
  <c r="N96" i="117"/>
  <c r="G20" i="117"/>
  <c r="N20" i="117"/>
  <c r="U20" i="117"/>
  <c r="O112" i="117"/>
  <c r="U112" i="117"/>
  <c r="H112" i="117"/>
  <c r="N112" i="117"/>
  <c r="D30" i="102"/>
  <c r="W30" i="102"/>
  <c r="AI30" i="102"/>
  <c r="AR33" i="101"/>
  <c r="G33" i="101"/>
  <c r="V33" i="101"/>
  <c r="Z33" i="101"/>
  <c r="AN33" i="101"/>
  <c r="AO33" i="101"/>
  <c r="AK33" i="101"/>
  <c r="AC33" i="101"/>
  <c r="J33" i="102"/>
  <c r="AH33" i="102"/>
  <c r="P33" i="102"/>
  <c r="AB33" i="102"/>
  <c r="V33" i="102"/>
  <c r="AM33" i="102"/>
  <c r="X33" i="102"/>
  <c r="Y33" i="102" s="1"/>
  <c r="W24" i="102"/>
  <c r="O25" i="94"/>
  <c r="V25" i="94"/>
  <c r="N25" i="94"/>
  <c r="G25" i="94"/>
  <c r="AN67" i="78"/>
  <c r="AE67" i="78"/>
  <c r="K67" i="78"/>
  <c r="X67" i="78"/>
  <c r="Y67" i="78" s="1"/>
  <c r="AJ67" i="78"/>
  <c r="AK67" i="78" s="1"/>
  <c r="D67" i="78"/>
  <c r="G67" i="78"/>
  <c r="AI67" i="78"/>
  <c r="AB67" i="78"/>
  <c r="V67" i="78"/>
  <c r="V26" i="94"/>
  <c r="G26" i="94"/>
  <c r="N26" i="94"/>
  <c r="H26" i="94"/>
  <c r="AB63" i="78"/>
  <c r="V63" i="78"/>
  <c r="P24" i="102"/>
  <c r="J24" i="102"/>
  <c r="AH18" i="102"/>
  <c r="AH24" i="102"/>
  <c r="G18" i="102"/>
  <c r="AE18" i="102"/>
  <c r="AB18" i="102"/>
  <c r="V18" i="102"/>
  <c r="W56" i="78"/>
  <c r="O26" i="94"/>
  <c r="K26" i="90"/>
  <c r="L56" i="78"/>
  <c r="M56" i="78" s="1"/>
  <c r="O20" i="118"/>
  <c r="P38" i="90"/>
  <c r="V21" i="118"/>
  <c r="O21" i="118"/>
  <c r="AE17" i="102"/>
  <c r="D17" i="102"/>
  <c r="AB17" i="102"/>
  <c r="S17" i="102"/>
  <c r="V17" i="102"/>
  <c r="AI17" i="102"/>
  <c r="AH17" i="102"/>
  <c r="X17" i="102"/>
  <c r="Y17" i="102" s="1"/>
  <c r="G17" i="102"/>
  <c r="O27" i="101"/>
  <c r="P27" i="101" s="1"/>
  <c r="AA27" i="101"/>
  <c r="AB27" i="101" s="1"/>
  <c r="AP27" i="101"/>
  <c r="AQ27" i="101" s="1"/>
  <c r="N27" i="101"/>
  <c r="G27" i="101"/>
  <c r="AH27" i="101"/>
  <c r="AD27" i="101"/>
  <c r="AE27" i="101" s="1"/>
  <c r="V27" i="101"/>
  <c r="V37" i="118"/>
  <c r="H37" i="118"/>
  <c r="O37" i="118"/>
  <c r="L21" i="101"/>
  <c r="M21" i="101" s="1"/>
  <c r="AS21" i="101"/>
  <c r="AT21" i="101" s="1"/>
  <c r="D21" i="101"/>
  <c r="AE24" i="102"/>
  <c r="AM18" i="102"/>
  <c r="AN18" i="102" s="1"/>
  <c r="H34" i="96"/>
  <c r="K24" i="102"/>
  <c r="AL24" i="102"/>
  <c r="AI18" i="102"/>
  <c r="L24" i="102"/>
  <c r="M24" i="102" s="1"/>
  <c r="D24" i="102"/>
  <c r="AM24" i="102"/>
  <c r="AN24" i="102" s="1"/>
  <c r="AL18" i="102"/>
  <c r="X18" i="102"/>
  <c r="Y18" i="102" s="1"/>
  <c r="W18" i="102"/>
  <c r="K56" i="78"/>
  <c r="O16" i="118"/>
  <c r="U26" i="94"/>
  <c r="AR21" i="101"/>
  <c r="J38" i="99"/>
  <c r="N38" i="99"/>
  <c r="Y38" i="99"/>
  <c r="Z38" i="99"/>
  <c r="AO38" i="99"/>
  <c r="AC38" i="99"/>
  <c r="AP38" i="99"/>
  <c r="AQ38" i="99" s="1"/>
  <c r="K38" i="99"/>
  <c r="AS38" i="99"/>
  <c r="AT38" i="99" s="1"/>
  <c r="D38" i="99"/>
  <c r="AK38" i="99"/>
  <c r="AD38" i="99"/>
  <c r="AE38" i="99" s="1"/>
  <c r="L38" i="99"/>
  <c r="M38" i="99" s="1"/>
  <c r="S38" i="99"/>
  <c r="AR38" i="99"/>
  <c r="H38" i="96"/>
  <c r="V38" i="96"/>
  <c r="H24" i="94"/>
  <c r="V24" i="94"/>
  <c r="W24" i="90"/>
  <c r="AN54" i="78"/>
  <c r="AJ54" i="78"/>
  <c r="AK54" i="78" s="1"/>
  <c r="AE54" i="78"/>
  <c r="P54" i="78"/>
  <c r="J54" i="78"/>
  <c r="W27" i="78"/>
  <c r="K27" i="78"/>
  <c r="AH27" i="78"/>
  <c r="V27" i="78"/>
  <c r="X27" i="78"/>
  <c r="Y27" i="78" s="1"/>
  <c r="J27" i="78"/>
  <c r="L27" i="78"/>
  <c r="M27" i="78" s="1"/>
  <c r="AE27" i="78"/>
  <c r="S27" i="78"/>
  <c r="AO21" i="99"/>
  <c r="V20" i="94"/>
  <c r="AR24" i="99"/>
  <c r="V60" i="78"/>
  <c r="H18" i="72"/>
  <c r="L37" i="99"/>
  <c r="M37" i="99" s="1"/>
  <c r="L28" i="99"/>
  <c r="M28" i="99" s="1"/>
  <c r="O28" i="99"/>
  <c r="P28" i="99" s="1"/>
  <c r="AI30" i="90"/>
  <c r="O18" i="72"/>
  <c r="V18" i="72"/>
  <c r="AI25" i="102"/>
  <c r="S25" i="102"/>
  <c r="P25" i="102"/>
  <c r="W25" i="102"/>
  <c r="J30" i="90"/>
  <c r="Z21" i="99"/>
  <c r="G64" i="117"/>
  <c r="K20" i="78"/>
  <c r="V37" i="99"/>
  <c r="AK28" i="99"/>
  <c r="G18" i="72"/>
  <c r="AH25" i="102"/>
  <c r="AE25" i="102"/>
  <c r="V25" i="102"/>
  <c r="AB30" i="90"/>
  <c r="N20" i="94"/>
  <c r="AH26" i="99"/>
  <c r="AJ20" i="78"/>
  <c r="AK20" i="78" s="1"/>
  <c r="AR28" i="99"/>
  <c r="AH37" i="99"/>
  <c r="AS37" i="99"/>
  <c r="AT37" i="99" s="1"/>
  <c r="Z28" i="99"/>
  <c r="K24" i="78"/>
  <c r="W30" i="90"/>
  <c r="AI21" i="90"/>
  <c r="AD26" i="99"/>
  <c r="AE26" i="99" s="1"/>
  <c r="D25" i="102"/>
  <c r="AJ24" i="78"/>
  <c r="AK24" i="78" s="1"/>
  <c r="G24" i="78"/>
  <c r="N18" i="72"/>
  <c r="AH21" i="90"/>
  <c r="N21" i="99"/>
  <c r="V21" i="99"/>
  <c r="S21" i="99"/>
  <c r="Y26" i="99"/>
  <c r="S26" i="99"/>
  <c r="AO26" i="99"/>
  <c r="AP26" i="99"/>
  <c r="AQ26" i="99" s="1"/>
  <c r="G26" i="99"/>
  <c r="L26" i="99"/>
  <c r="M26" i="99" s="1"/>
  <c r="AK26" i="99"/>
  <c r="V26" i="99"/>
  <c r="AC26" i="99"/>
  <c r="AA26" i="99"/>
  <c r="AB26" i="99" s="1"/>
  <c r="H38" i="117"/>
  <c r="N38" i="117"/>
  <c r="U38" i="117"/>
  <c r="AH68" i="78"/>
  <c r="AJ68" i="78"/>
  <c r="AK68" i="78" s="1"/>
  <c r="W68" i="78"/>
  <c r="G68" i="78"/>
  <c r="AN68" i="78"/>
  <c r="V68" i="78"/>
  <c r="S68" i="78"/>
  <c r="AB68" i="78"/>
  <c r="V24" i="72"/>
  <c r="U24" i="72"/>
  <c r="H24" i="72"/>
  <c r="O42" i="72"/>
  <c r="N42" i="72"/>
  <c r="K26" i="99"/>
  <c r="O30" i="72"/>
  <c r="AO37" i="99"/>
  <c r="AD37" i="99"/>
  <c r="AE37" i="99" s="1"/>
  <c r="G37" i="99"/>
  <c r="Y37" i="99"/>
  <c r="S37" i="99"/>
  <c r="AP28" i="99"/>
  <c r="AQ28" i="99" s="1"/>
  <c r="G28" i="99"/>
  <c r="K28" i="99"/>
  <c r="J28" i="99"/>
  <c r="AS21" i="99"/>
  <c r="AT21" i="99" s="1"/>
  <c r="X68" i="78"/>
  <c r="Y68" i="78" s="1"/>
  <c r="AE68" i="78"/>
  <c r="V38" i="117"/>
  <c r="O24" i="72"/>
  <c r="J26" i="99"/>
  <c r="N67" i="117"/>
  <c r="V67" i="117"/>
  <c r="O54" i="117"/>
  <c r="G54" i="117"/>
  <c r="N63" i="117"/>
  <c r="V63" i="117"/>
  <c r="AK37" i="101"/>
  <c r="AA37" i="101"/>
  <c r="AB37" i="101" s="1"/>
  <c r="V27" i="96"/>
  <c r="U27" i="96"/>
  <c r="O31" i="94"/>
  <c r="H31" i="94"/>
  <c r="N22" i="117"/>
  <c r="H22" i="117"/>
  <c r="V22" i="117"/>
  <c r="Z23" i="101"/>
  <c r="AD23" i="101"/>
  <c r="AE23" i="101" s="1"/>
  <c r="AR23" i="101"/>
  <c r="AK23" i="101"/>
  <c r="D23" i="101"/>
  <c r="AN23" i="101"/>
  <c r="AC23" i="101"/>
  <c r="AO23" i="101"/>
  <c r="N23" i="101"/>
  <c r="S23" i="101"/>
  <c r="L23" i="101"/>
  <c r="M23" i="101" s="1"/>
  <c r="AS23" i="101"/>
  <c r="AT23" i="101" s="1"/>
  <c r="AA23" i="101"/>
  <c r="AB23" i="101" s="1"/>
  <c r="K23" i="101"/>
  <c r="AP23" i="101"/>
  <c r="AQ23" i="101" s="1"/>
  <c r="AH23" i="101"/>
  <c r="O29" i="96"/>
  <c r="H29" i="96"/>
  <c r="U29" i="96"/>
  <c r="N29" i="96"/>
  <c r="O37" i="94"/>
  <c r="V37" i="94"/>
  <c r="N37" i="94"/>
  <c r="H37" i="94"/>
  <c r="AE28" i="90"/>
  <c r="AB28" i="90"/>
  <c r="P28" i="90"/>
  <c r="W28" i="90"/>
  <c r="K28" i="90"/>
  <c r="W74" i="78"/>
  <c r="V74" i="78"/>
  <c r="L74" i="78"/>
  <c r="M74" i="78" s="1"/>
  <c r="S74" i="78"/>
  <c r="K74" i="78"/>
  <c r="AN74" i="78"/>
  <c r="AI74" i="78"/>
  <c r="G74" i="78"/>
  <c r="D57" i="78"/>
  <c r="X57" i="78"/>
  <c r="Y57" i="78" s="1"/>
  <c r="P57" i="78"/>
  <c r="G57" i="78"/>
  <c r="AI57" i="78"/>
  <c r="AB57" i="78"/>
  <c r="K57" i="78"/>
  <c r="AJ57" i="78"/>
  <c r="AK57" i="78" s="1"/>
  <c r="V26" i="78"/>
  <c r="AH26" i="78"/>
  <c r="W38" i="102"/>
  <c r="J38" i="102"/>
  <c r="V22" i="101"/>
  <c r="AS22" i="101"/>
  <c r="AT22" i="101" s="1"/>
  <c r="AP22" i="101"/>
  <c r="AQ22" i="101" s="1"/>
  <c r="AN22" i="101"/>
  <c r="O22" i="101"/>
  <c r="P22" i="101" s="1"/>
  <c r="D22" i="101"/>
  <c r="G22" i="101"/>
  <c r="K22" i="101"/>
  <c r="J37" i="90"/>
  <c r="S37" i="90"/>
  <c r="AB37" i="90"/>
  <c r="D37" i="90"/>
  <c r="AI75" i="78"/>
  <c r="S75" i="78"/>
  <c r="AJ75" i="78"/>
  <c r="AK75" i="78" s="1"/>
  <c r="AH75" i="78"/>
  <c r="G75" i="78"/>
  <c r="AB75" i="78"/>
  <c r="AJ28" i="78"/>
  <c r="AK28" i="78" s="1"/>
  <c r="AB28" i="78"/>
  <c r="L28" i="78"/>
  <c r="M28" i="78" s="1"/>
  <c r="S28" i="78"/>
  <c r="G28" i="78"/>
  <c r="D28" i="78"/>
  <c r="AN72" i="78"/>
  <c r="K72" i="78"/>
  <c r="P72" i="78"/>
  <c r="V33" i="72"/>
  <c r="O33" i="72"/>
  <c r="N33" i="72"/>
  <c r="D27" i="90"/>
  <c r="W27" i="90"/>
  <c r="G29" i="78"/>
  <c r="V29" i="78"/>
  <c r="P61" i="78"/>
  <c r="AB61" i="78"/>
  <c r="AJ34" i="78"/>
  <c r="AK34" i="78" s="1"/>
  <c r="S34" i="78"/>
  <c r="AH34" i="78"/>
  <c r="U64" i="117"/>
  <c r="AO24" i="99"/>
  <c r="L21" i="99"/>
  <c r="M21" i="99" s="1"/>
  <c r="AP21" i="99"/>
  <c r="AQ21" i="99" s="1"/>
  <c r="K21" i="99"/>
  <c r="H64" i="117"/>
  <c r="AH21" i="99"/>
  <c r="N24" i="99"/>
  <c r="AC24" i="99"/>
  <c r="K24" i="99"/>
  <c r="AK24" i="99"/>
  <c r="U42" i="72"/>
  <c r="AK21" i="99"/>
  <c r="J21" i="99"/>
  <c r="AC21" i="99"/>
  <c r="H36" i="72"/>
  <c r="H30" i="72"/>
  <c r="O64" i="117"/>
  <c r="AN26" i="99"/>
  <c r="O26" i="99"/>
  <c r="P26" i="99" s="1"/>
  <c r="J28" i="108"/>
  <c r="AA37" i="99"/>
  <c r="AB37" i="99" s="1"/>
  <c r="AR37" i="99"/>
  <c r="O37" i="99"/>
  <c r="P37" i="99" s="1"/>
  <c r="Z37" i="99"/>
  <c r="K37" i="99"/>
  <c r="Y28" i="99"/>
  <c r="AO28" i="99"/>
  <c r="AA28" i="99"/>
  <c r="AB28" i="99" s="1"/>
  <c r="AD28" i="99"/>
  <c r="AE28" i="99" s="1"/>
  <c r="AN28" i="99"/>
  <c r="X23" i="102"/>
  <c r="Y23" i="102" s="1"/>
  <c r="AE23" i="102"/>
  <c r="AH28" i="102"/>
  <c r="D21" i="99"/>
  <c r="G30" i="109"/>
  <c r="D29" i="101"/>
  <c r="D68" i="78"/>
  <c r="X74" i="78"/>
  <c r="Y74" i="78" s="1"/>
  <c r="J57" i="78"/>
  <c r="J68" i="78"/>
  <c r="O38" i="117"/>
  <c r="H42" i="72"/>
  <c r="G22" i="117"/>
  <c r="S22" i="101"/>
  <c r="Z24" i="99"/>
  <c r="D26" i="99"/>
  <c r="P74" i="78"/>
  <c r="W57" i="78"/>
  <c r="V23" i="101"/>
  <c r="P28" i="78"/>
  <c r="V24" i="99"/>
  <c r="S24" i="99"/>
  <c r="AD21" i="99"/>
  <c r="AE21" i="99" s="1"/>
  <c r="G20" i="94"/>
  <c r="O24" i="99"/>
  <c r="P24" i="99" s="1"/>
  <c r="G30" i="72"/>
  <c r="U20" i="94"/>
  <c r="D24" i="99"/>
  <c r="AD24" i="99"/>
  <c r="AE24" i="99" s="1"/>
  <c r="AN24" i="99"/>
  <c r="G21" i="99"/>
  <c r="AN21" i="99"/>
  <c r="O21" i="99"/>
  <c r="P21" i="99" s="1"/>
  <c r="V42" i="72"/>
  <c r="V30" i="72"/>
  <c r="AR26" i="99"/>
  <c r="AP24" i="99"/>
  <c r="AQ24" i="99" s="1"/>
  <c r="G24" i="99"/>
  <c r="S28" i="99"/>
  <c r="U30" i="72"/>
  <c r="D37" i="99"/>
  <c r="AN37" i="99"/>
  <c r="J37" i="99"/>
  <c r="N37" i="99"/>
  <c r="V28" i="99"/>
  <c r="AC28" i="99"/>
  <c r="D28" i="99"/>
  <c r="AS28" i="99"/>
  <c r="AT28" i="99" s="1"/>
  <c r="S23" i="102"/>
  <c r="AL23" i="102"/>
  <c r="L28" i="102"/>
  <c r="M28" i="102" s="1"/>
  <c r="D27" i="107"/>
  <c r="AH36" i="102"/>
  <c r="AK29" i="101"/>
  <c r="O24" i="96"/>
  <c r="K68" i="78"/>
  <c r="V57" i="78"/>
  <c r="L68" i="78"/>
  <c r="M68" i="78" s="1"/>
  <c r="G38" i="117"/>
  <c r="O22" i="117"/>
  <c r="V103" i="117"/>
  <c r="AD22" i="101"/>
  <c r="AE22" i="101" s="1"/>
  <c r="AN75" i="78"/>
  <c r="AE74" i="78"/>
  <c r="O23" i="101"/>
  <c r="P23" i="101" s="1"/>
  <c r="J75" i="78"/>
  <c r="W28" i="78"/>
  <c r="J23" i="90"/>
  <c r="AN23" i="90"/>
  <c r="V23" i="90"/>
  <c r="AE23" i="90"/>
  <c r="AH40" i="90"/>
  <c r="V40" i="90"/>
  <c r="S40" i="90"/>
  <c r="S38" i="90"/>
  <c r="AH35" i="90"/>
  <c r="S35" i="90"/>
  <c r="AB35" i="90"/>
  <c r="D35" i="90"/>
  <c r="AN31" i="90"/>
  <c r="V31" i="90"/>
  <c r="G31" i="90"/>
  <c r="AB31" i="90"/>
  <c r="AH34" i="90"/>
  <c r="AN41" i="90"/>
  <c r="J41" i="90"/>
  <c r="AE41" i="90"/>
  <c r="S41" i="90"/>
  <c r="D41" i="90"/>
  <c r="AH29" i="90"/>
  <c r="J29" i="90"/>
  <c r="S29" i="90"/>
  <c r="AB22" i="90"/>
  <c r="AI26" i="90"/>
  <c r="V26" i="90"/>
  <c r="AE26" i="90"/>
  <c r="AH24" i="90"/>
  <c r="AI38" i="90"/>
  <c r="S20" i="90"/>
  <c r="W32" i="90"/>
  <c r="AN32" i="90"/>
  <c r="V32" i="90"/>
  <c r="AE32" i="90"/>
  <c r="AH32" i="90"/>
  <c r="J32" i="90"/>
  <c r="S32" i="90"/>
  <c r="AB32" i="90"/>
  <c r="D31" i="90"/>
  <c r="P31" i="90"/>
  <c r="AN39" i="90"/>
  <c r="AH39" i="90"/>
  <c r="AE39" i="90"/>
  <c r="AB39" i="90"/>
  <c r="P39" i="90"/>
  <c r="H29" i="118"/>
  <c r="O29" i="118"/>
  <c r="V29" i="118"/>
  <c r="J30" i="112"/>
  <c r="G30" i="112"/>
  <c r="G22" i="109"/>
  <c r="J22" i="109"/>
  <c r="G36" i="108"/>
  <c r="D36" i="108"/>
  <c r="D18" i="114"/>
  <c r="G18" i="114"/>
  <c r="V60" i="117"/>
  <c r="U60" i="117"/>
  <c r="G60" i="117"/>
  <c r="O60" i="117"/>
  <c r="N91" i="117"/>
  <c r="O91" i="117"/>
  <c r="U91" i="117"/>
  <c r="G91" i="117"/>
  <c r="AR36" i="101"/>
  <c r="AC36" i="101"/>
  <c r="N36" i="101"/>
  <c r="AK36" i="101"/>
  <c r="K36" i="101"/>
  <c r="J36" i="101"/>
  <c r="AH36" i="101"/>
  <c r="V36" i="101"/>
  <c r="O22" i="94"/>
  <c r="N22" i="94"/>
  <c r="H22" i="94"/>
  <c r="G30" i="101"/>
  <c r="Y30" i="101"/>
  <c r="K30" i="101"/>
  <c r="AK30" i="101"/>
  <c r="D30" i="101"/>
  <c r="AN30" i="101"/>
  <c r="V36" i="94"/>
  <c r="U36" i="94"/>
  <c r="O36" i="94"/>
  <c r="O27" i="99"/>
  <c r="P27" i="99" s="1"/>
  <c r="L27" i="99"/>
  <c r="M27" i="99" s="1"/>
  <c r="AK27" i="99"/>
  <c r="AO27" i="99"/>
  <c r="Z27" i="99"/>
  <c r="K27" i="99"/>
  <c r="V27" i="99"/>
  <c r="AA27" i="99"/>
  <c r="AB27" i="99" s="1"/>
  <c r="AH27" i="99"/>
  <c r="AS27" i="99"/>
  <c r="AT27" i="99" s="1"/>
  <c r="D27" i="99"/>
  <c r="AC27" i="99"/>
  <c r="S25" i="101"/>
  <c r="G25" i="101"/>
  <c r="AN25" i="101"/>
  <c r="AR25" i="101"/>
  <c r="AS25" i="101"/>
  <c r="AT25" i="101" s="1"/>
  <c r="L25" i="101"/>
  <c r="M25" i="101" s="1"/>
  <c r="AC25" i="101"/>
  <c r="Z25" i="101"/>
  <c r="K25" i="101"/>
  <c r="AO25" i="101"/>
  <c r="O36" i="118"/>
  <c r="V36" i="118"/>
  <c r="H36" i="118"/>
  <c r="AR25" i="99"/>
  <c r="AD25" i="99"/>
  <c r="AE25" i="99" s="1"/>
  <c r="U30" i="96"/>
  <c r="V30" i="96"/>
  <c r="H30" i="96"/>
  <c r="O30" i="96"/>
  <c r="G17" i="72"/>
  <c r="U17" i="72"/>
  <c r="V88" i="117"/>
  <c r="G88" i="117"/>
  <c r="N88" i="117"/>
  <c r="O35" i="99"/>
  <c r="P35" i="99" s="1"/>
  <c r="AA35" i="99"/>
  <c r="AB35" i="99" s="1"/>
  <c r="AR35" i="99"/>
  <c r="K35" i="99"/>
  <c r="Y35" i="99"/>
  <c r="AS35" i="99"/>
  <c r="AT35" i="99" s="1"/>
  <c r="S35" i="99"/>
  <c r="J35" i="99"/>
  <c r="N35" i="99"/>
  <c r="U102" i="117"/>
  <c r="N102" i="117"/>
  <c r="AC20" i="99"/>
  <c r="D20" i="99"/>
  <c r="L20" i="99"/>
  <c r="M20" i="99" s="1"/>
  <c r="AK20" i="99"/>
  <c r="AH20" i="99"/>
  <c r="AP20" i="99"/>
  <c r="AQ20" i="99" s="1"/>
  <c r="G20" i="99"/>
  <c r="AR20" i="99"/>
  <c r="N25" i="72"/>
  <c r="H25" i="72"/>
  <c r="O17" i="118"/>
  <c r="V17" i="118"/>
  <c r="J24" i="110"/>
  <c r="G24" i="110"/>
  <c r="G20" i="108"/>
  <c r="D20" i="108"/>
  <c r="J34" i="114"/>
  <c r="D34" i="114"/>
  <c r="G34" i="114"/>
  <c r="N105" i="117"/>
  <c r="V105" i="117"/>
  <c r="H105" i="117"/>
  <c r="G105" i="117"/>
  <c r="O105" i="117"/>
  <c r="O36" i="117"/>
  <c r="V36" i="117"/>
  <c r="G32" i="117"/>
  <c r="N32" i="117"/>
  <c r="O32" i="117"/>
  <c r="D26" i="101"/>
  <c r="AN26" i="101"/>
  <c r="J26" i="101"/>
  <c r="G26" i="101"/>
  <c r="Z26" i="101"/>
  <c r="L26" i="101"/>
  <c r="M26" i="101" s="1"/>
  <c r="AD26" i="101"/>
  <c r="AE26" i="101" s="1"/>
  <c r="Y26" i="101"/>
  <c r="AK26" i="101"/>
  <c r="V26" i="101"/>
  <c r="D20" i="101"/>
  <c r="J20" i="101"/>
  <c r="AD20" i="101"/>
  <c r="AE20" i="101" s="1"/>
  <c r="N20" i="101"/>
  <c r="K20" i="101"/>
  <c r="V20" i="101"/>
  <c r="AC20" i="101"/>
  <c r="O17" i="96"/>
  <c r="U17" i="96"/>
  <c r="U57" i="117"/>
  <c r="H57" i="117"/>
  <c r="H31" i="96"/>
  <c r="V31" i="96"/>
  <c r="V23" i="94"/>
  <c r="N23" i="94"/>
  <c r="H23" i="94"/>
  <c r="W35" i="90"/>
  <c r="AI35" i="90"/>
  <c r="AI22" i="90"/>
  <c r="K22" i="90"/>
  <c r="W22" i="90"/>
  <c r="V17" i="101"/>
  <c r="AA17" i="101"/>
  <c r="AB17" i="101" s="1"/>
  <c r="AH17" i="101"/>
  <c r="AC17" i="101"/>
  <c r="Z17" i="101"/>
  <c r="AO17" i="101"/>
  <c r="O17" i="101"/>
  <c r="P17" i="101" s="1"/>
  <c r="AP17" i="101"/>
  <c r="AQ17" i="101" s="1"/>
  <c r="AD17" i="101"/>
  <c r="AE17" i="101" s="1"/>
  <c r="L17" i="101"/>
  <c r="M17" i="101" s="1"/>
  <c r="Y23" i="99"/>
  <c r="O23" i="99"/>
  <c r="P23" i="99" s="1"/>
  <c r="V23" i="99"/>
  <c r="AH23" i="99"/>
  <c r="J23" i="99"/>
  <c r="AK23" i="99"/>
  <c r="S23" i="99"/>
  <c r="AC23" i="99"/>
  <c r="D23" i="99"/>
  <c r="AA23" i="99"/>
  <c r="AB23" i="99" s="1"/>
  <c r="N23" i="99"/>
  <c r="G23" i="99"/>
  <c r="G34" i="94"/>
  <c r="N34" i="94"/>
  <c r="O38" i="94"/>
  <c r="V38" i="94"/>
  <c r="W29" i="90"/>
  <c r="AD18" i="99"/>
  <c r="AE18" i="99" s="1"/>
  <c r="L18" i="99"/>
  <c r="M18" i="99" s="1"/>
  <c r="AS18" i="99"/>
  <c r="AT18" i="99" s="1"/>
  <c r="J18" i="99"/>
  <c r="AC18" i="99"/>
  <c r="V57" i="117"/>
  <c r="AD35" i="99"/>
  <c r="AE35" i="99" s="1"/>
  <c r="G23" i="113"/>
  <c r="G106" i="117"/>
  <c r="V52" i="117"/>
  <c r="G27" i="117"/>
  <c r="D18" i="101"/>
  <c r="L18" i="101"/>
  <c r="M18" i="101" s="1"/>
  <c r="H28" i="118"/>
  <c r="AC25" i="99"/>
  <c r="J25" i="99"/>
  <c r="Z25" i="99"/>
  <c r="K34" i="90"/>
  <c r="H38" i="72"/>
  <c r="N36" i="94"/>
  <c r="U18" i="96"/>
  <c r="U38" i="94"/>
  <c r="G23" i="94"/>
  <c r="AR27" i="99"/>
  <c r="AO23" i="99"/>
  <c r="H88" i="117"/>
  <c r="H36" i="117"/>
  <c r="S26" i="101"/>
  <c r="AP25" i="101"/>
  <c r="AQ25" i="101" s="1"/>
  <c r="D17" i="101"/>
  <c r="AN20" i="99"/>
  <c r="H91" i="117"/>
  <c r="U105" i="117"/>
  <c r="J36" i="108"/>
  <c r="U38" i="72"/>
  <c r="AP18" i="99"/>
  <c r="AQ18" i="99" s="1"/>
  <c r="V22" i="94"/>
  <c r="H92" i="117"/>
  <c r="S17" i="101"/>
  <c r="S20" i="99"/>
  <c r="V35" i="99"/>
  <c r="AH35" i="99"/>
  <c r="V25" i="118"/>
  <c r="O25" i="118"/>
  <c r="O31" i="118"/>
  <c r="V31" i="118"/>
  <c r="U21" i="117"/>
  <c r="O21" i="117"/>
  <c r="U36" i="117"/>
  <c r="G21" i="117"/>
  <c r="D23" i="113"/>
  <c r="O106" i="117"/>
  <c r="G52" i="117"/>
  <c r="U52" i="117"/>
  <c r="O27" i="117"/>
  <c r="G31" i="96"/>
  <c r="U34" i="94"/>
  <c r="O23" i="94"/>
  <c r="N27" i="99"/>
  <c r="AN23" i="99"/>
  <c r="H60" i="117"/>
  <c r="AA26" i="101"/>
  <c r="AB26" i="101" s="1"/>
  <c r="Y17" i="101"/>
  <c r="O20" i="99"/>
  <c r="P20" i="99" s="1"/>
  <c r="V37" i="117"/>
  <c r="N31" i="96"/>
  <c r="N25" i="101"/>
  <c r="U22" i="96"/>
  <c r="AC30" i="101"/>
  <c r="G36" i="94"/>
  <c r="N57" i="117"/>
  <c r="H21" i="117"/>
  <c r="H32" i="117"/>
  <c r="AN36" i="101"/>
  <c r="D24" i="110"/>
  <c r="O30" i="101"/>
  <c r="P30" i="101" s="1"/>
  <c r="AP36" i="101"/>
  <c r="AQ36" i="101" s="1"/>
  <c r="G42" i="113"/>
  <c r="D42" i="113"/>
  <c r="U56" i="117"/>
  <c r="V56" i="117"/>
  <c r="H101" i="117"/>
  <c r="O101" i="117"/>
  <c r="V101" i="117"/>
  <c r="U101" i="117"/>
  <c r="U92" i="117"/>
  <c r="G92" i="117"/>
  <c r="V92" i="117"/>
  <c r="G37" i="117"/>
  <c r="O37" i="117"/>
  <c r="J16" i="107"/>
  <c r="G16" i="107"/>
  <c r="D42" i="107"/>
  <c r="G42" i="107"/>
  <c r="J42" i="107"/>
  <c r="AS26" i="101"/>
  <c r="AT26" i="101" s="1"/>
  <c r="AO26" i="101"/>
  <c r="O26" i="101"/>
  <c r="P26" i="101" s="1"/>
  <c r="AH26" i="101"/>
  <c r="D36" i="101"/>
  <c r="AD36" i="101"/>
  <c r="AE36" i="101" s="1"/>
  <c r="AO36" i="101"/>
  <c r="AA36" i="101"/>
  <c r="AB36" i="101" s="1"/>
  <c r="Z36" i="101"/>
  <c r="AS36" i="101"/>
  <c r="AT36" i="101" s="1"/>
  <c r="Y36" i="101"/>
  <c r="O36" i="101"/>
  <c r="P36" i="101" s="1"/>
  <c r="L20" i="101"/>
  <c r="M20" i="101" s="1"/>
  <c r="Y20" i="101"/>
  <c r="AH20" i="101"/>
  <c r="G20" i="101"/>
  <c r="AO20" i="101"/>
  <c r="AS20" i="101"/>
  <c r="AT20" i="101" s="1"/>
  <c r="Z20" i="101"/>
  <c r="AN20" i="101"/>
  <c r="AK20" i="101"/>
  <c r="O20" i="101"/>
  <c r="P20" i="101" s="1"/>
  <c r="AR20" i="101"/>
  <c r="G39" i="96"/>
  <c r="H39" i="96"/>
  <c r="V39" i="96"/>
  <c r="V17" i="96"/>
  <c r="G17" i="96"/>
  <c r="H17" i="96"/>
  <c r="N17" i="96"/>
  <c r="AR30" i="101"/>
  <c r="AH30" i="101"/>
  <c r="AO30" i="101"/>
  <c r="V30" i="101"/>
  <c r="AS30" i="101"/>
  <c r="AT30" i="101" s="1"/>
  <c r="AA30" i="101"/>
  <c r="AB30" i="101" s="1"/>
  <c r="S30" i="101"/>
  <c r="Z30" i="101"/>
  <c r="J30" i="101"/>
  <c r="AP30" i="101"/>
  <c r="AQ30" i="101" s="1"/>
  <c r="AS23" i="99"/>
  <c r="AT23" i="99" s="1"/>
  <c r="AD23" i="99"/>
  <c r="AE23" i="99" s="1"/>
  <c r="AP23" i="99"/>
  <c r="AQ23" i="99" s="1"/>
  <c r="V22" i="72"/>
  <c r="H22" i="72"/>
  <c r="AK25" i="101"/>
  <c r="Y25" i="101"/>
  <c r="AD25" i="101"/>
  <c r="AE25" i="101" s="1"/>
  <c r="J25" i="101"/>
  <c r="D25" i="101"/>
  <c r="V25" i="101"/>
  <c r="AI41" i="90"/>
  <c r="S18" i="99"/>
  <c r="N18" i="99"/>
  <c r="AH18" i="99"/>
  <c r="Y18" i="99"/>
  <c r="AA18" i="99"/>
  <c r="AB18" i="99" s="1"/>
  <c r="O18" i="99"/>
  <c r="P18" i="99" s="1"/>
  <c r="AN18" i="99"/>
  <c r="V18" i="99"/>
  <c r="AO18" i="99"/>
  <c r="Z18" i="99"/>
  <c r="G18" i="99"/>
  <c r="AP35" i="99"/>
  <c r="AQ35" i="99" s="1"/>
  <c r="AO35" i="99"/>
  <c r="D35" i="99"/>
  <c r="L35" i="99"/>
  <c r="M35" i="99" s="1"/>
  <c r="Z35" i="99"/>
  <c r="AC35" i="99"/>
  <c r="G35" i="99"/>
  <c r="V20" i="99"/>
  <c r="N20" i="99"/>
  <c r="J20" i="99"/>
  <c r="AA20" i="99"/>
  <c r="AB20" i="99" s="1"/>
  <c r="K20" i="99"/>
  <c r="AD20" i="99"/>
  <c r="AE20" i="99" s="1"/>
  <c r="O22" i="96"/>
  <c r="H22" i="96"/>
  <c r="V25" i="72"/>
  <c r="U25" i="72"/>
  <c r="G25" i="72"/>
  <c r="J18" i="114"/>
  <c r="D30" i="114"/>
  <c r="G30" i="114"/>
  <c r="H17" i="118"/>
  <c r="U32" i="117"/>
  <c r="AP26" i="101"/>
  <c r="AQ26" i="101" s="1"/>
  <c r="N26" i="101"/>
  <c r="AC26" i="101"/>
  <c r="V91" i="117"/>
  <c r="V32" i="117"/>
  <c r="S36" i="101"/>
  <c r="L36" i="101"/>
  <c r="M36" i="101" s="1"/>
  <c r="D30" i="112"/>
  <c r="D22" i="109"/>
  <c r="J20" i="108"/>
  <c r="U22" i="94"/>
  <c r="K41" i="90"/>
  <c r="O22" i="72"/>
  <c r="K18" i="99"/>
  <c r="AK18" i="99"/>
  <c r="AR18" i="99"/>
  <c r="N37" i="117"/>
  <c r="N30" i="101"/>
  <c r="AA20" i="101"/>
  <c r="AB20" i="101" s="1"/>
  <c r="AR26" i="101"/>
  <c r="AA25" i="101"/>
  <c r="AB25" i="101" s="1"/>
  <c r="N39" i="96"/>
  <c r="U37" i="117"/>
  <c r="O92" i="117"/>
  <c r="G101" i="117"/>
  <c r="N56" i="117"/>
  <c r="G36" i="101"/>
  <c r="K26" i="101"/>
  <c r="AN35" i="99"/>
  <c r="O39" i="96"/>
  <c r="Z20" i="99"/>
  <c r="AO20" i="99"/>
  <c r="H20" i="118"/>
  <c r="S33" i="102"/>
  <c r="AI33" i="102"/>
  <c r="K33" i="102"/>
  <c r="AS33" i="101"/>
  <c r="AT33" i="101" s="1"/>
  <c r="L33" i="101"/>
  <c r="M33" i="101" s="1"/>
  <c r="AH33" i="101"/>
  <c r="G96" i="117"/>
  <c r="U89" i="117"/>
  <c r="G69" i="117"/>
  <c r="O26" i="117"/>
  <c r="U26" i="117"/>
  <c r="K21" i="101"/>
  <c r="Z21" i="101"/>
  <c r="N21" i="101"/>
  <c r="S27" i="101"/>
  <c r="J27" i="101"/>
  <c r="D18" i="112"/>
  <c r="L63" i="78"/>
  <c r="M63" i="78" s="1"/>
  <c r="V20" i="78"/>
  <c r="AH20" i="78"/>
  <c r="AA36" i="99"/>
  <c r="AB36" i="99" s="1"/>
  <c r="W20" i="78"/>
  <c r="S20" i="78"/>
  <c r="Y34" i="99"/>
  <c r="J24" i="108"/>
  <c r="G24" i="108"/>
  <c r="G38" i="114"/>
  <c r="D38" i="114"/>
  <c r="AM30" i="102"/>
  <c r="AN30" i="102" s="1"/>
  <c r="AL30" i="102"/>
  <c r="G30" i="102"/>
  <c r="AB30" i="102"/>
  <c r="J30" i="102"/>
  <c r="K30" i="102"/>
  <c r="X30" i="102"/>
  <c r="Y30" i="102" s="1"/>
  <c r="S30" i="102"/>
  <c r="D33" i="101"/>
  <c r="O33" i="101"/>
  <c r="P33" i="101" s="1"/>
  <c r="AD31" i="101"/>
  <c r="AE31" i="101" s="1"/>
  <c r="D31" i="101"/>
  <c r="AK31" i="101"/>
  <c r="O33" i="96"/>
  <c r="U33" i="96"/>
  <c r="AN63" i="78"/>
  <c r="AJ63" i="78"/>
  <c r="AK63" i="78" s="1"/>
  <c r="J63" i="78"/>
  <c r="G63" i="78"/>
  <c r="AE63" i="78"/>
  <c r="D63" i="78"/>
  <c r="K63" i="78"/>
  <c r="W63" i="78"/>
  <c r="AN73" i="78"/>
  <c r="W73" i="78"/>
  <c r="L73" i="78"/>
  <c r="M73" i="78" s="1"/>
  <c r="J73" i="78"/>
  <c r="AE73" i="78"/>
  <c r="AN56" i="78"/>
  <c r="V56" i="78"/>
  <c r="AB56" i="78"/>
  <c r="J35" i="101"/>
  <c r="AP35" i="101"/>
  <c r="AQ35" i="101" s="1"/>
  <c r="AR35" i="101"/>
  <c r="AS39" i="99"/>
  <c r="AT39" i="99" s="1"/>
  <c r="AO39" i="99"/>
  <c r="V39" i="99"/>
  <c r="O39" i="99"/>
  <c r="P39" i="99" s="1"/>
  <c r="AA39" i="99"/>
  <c r="AB39" i="99" s="1"/>
  <c r="J39" i="99"/>
  <c r="N39" i="99"/>
  <c r="L39" i="99"/>
  <c r="M39" i="99" s="1"/>
  <c r="N36" i="96"/>
  <c r="H36" i="96"/>
  <c r="K64" i="78"/>
  <c r="G64" i="78"/>
  <c r="AE64" i="78"/>
  <c r="X64" i="78"/>
  <c r="Y64" i="78" s="1"/>
  <c r="P64" i="78"/>
  <c r="AB64" i="78"/>
  <c r="V64" i="78"/>
  <c r="V54" i="78"/>
  <c r="AH54" i="78"/>
  <c r="V34" i="72"/>
  <c r="N34" i="72"/>
  <c r="AI20" i="90"/>
  <c r="AI32" i="90"/>
  <c r="K32" i="90"/>
  <c r="AI20" i="78"/>
  <c r="J20" i="78"/>
  <c r="X20" i="78"/>
  <c r="Y20" i="78" s="1"/>
  <c r="D20" i="78"/>
  <c r="AB20" i="78"/>
  <c r="M20" i="78"/>
  <c r="AE20" i="78"/>
  <c r="P20" i="78"/>
  <c r="AN20" i="78"/>
  <c r="P60" i="78"/>
  <c r="D60" i="78"/>
  <c r="X60" i="78"/>
  <c r="Y60" i="78" s="1"/>
  <c r="J60" i="78"/>
  <c r="AN60" i="78"/>
  <c r="AB60" i="78"/>
  <c r="AE60" i="78"/>
  <c r="G60" i="78"/>
  <c r="K60" i="78"/>
  <c r="S60" i="78"/>
  <c r="N32" i="94"/>
  <c r="V32" i="94"/>
  <c r="AK19" i="101"/>
  <c r="AA19" i="101"/>
  <c r="AB19" i="101" s="1"/>
  <c r="D19" i="101"/>
  <c r="AP19" i="101"/>
  <c r="AQ19" i="101" s="1"/>
  <c r="Z19" i="101"/>
  <c r="J19" i="101"/>
  <c r="O19" i="101"/>
  <c r="P19" i="101" s="1"/>
  <c r="G19" i="101"/>
  <c r="V36" i="99"/>
  <c r="D36" i="99"/>
  <c r="S36" i="99"/>
  <c r="J36" i="99"/>
  <c r="AK36" i="99"/>
  <c r="L36" i="99"/>
  <c r="M36" i="99" s="1"/>
  <c r="AP36" i="99"/>
  <c r="AQ36" i="99" s="1"/>
  <c r="Y36" i="99"/>
  <c r="AD36" i="99"/>
  <c r="AE36" i="99" s="1"/>
  <c r="AH36" i="99"/>
  <c r="AO36" i="99"/>
  <c r="K36" i="99"/>
  <c r="AN36" i="99"/>
  <c r="AR36" i="99"/>
  <c r="N20" i="96"/>
  <c r="G20" i="96"/>
  <c r="H20" i="96"/>
  <c r="V35" i="72"/>
  <c r="G35" i="72"/>
  <c r="H35" i="72"/>
  <c r="U35" i="72"/>
  <c r="U16" i="72"/>
  <c r="N16" i="72"/>
  <c r="AN19" i="99"/>
  <c r="AD19" i="99"/>
  <c r="AE19" i="99" s="1"/>
  <c r="Y19" i="99"/>
  <c r="L17" i="99"/>
  <c r="M17" i="99" s="1"/>
  <c r="Y17" i="99"/>
  <c r="AK17" i="99"/>
  <c r="J17" i="99"/>
  <c r="AS17" i="99"/>
  <c r="AT17" i="99" s="1"/>
  <c r="AN17" i="99"/>
  <c r="AC17" i="99"/>
  <c r="V17" i="99"/>
  <c r="Z17" i="99"/>
  <c r="O34" i="99"/>
  <c r="P34" i="99" s="1"/>
  <c r="K34" i="99"/>
  <c r="V34" i="99"/>
  <c r="AH34" i="99"/>
  <c r="AN34" i="99"/>
  <c r="AR34" i="99"/>
  <c r="AC34" i="99"/>
  <c r="S34" i="99"/>
  <c r="AP34" i="99"/>
  <c r="AQ34" i="99" s="1"/>
  <c r="G34" i="99"/>
  <c r="J34" i="99"/>
  <c r="AS34" i="99"/>
  <c r="AT34" i="99" s="1"/>
  <c r="Z34" i="99"/>
  <c r="AD34" i="99"/>
  <c r="AE34" i="99" s="1"/>
  <c r="O29" i="72"/>
  <c r="V29" i="72"/>
  <c r="H29" i="72"/>
  <c r="N29" i="72"/>
  <c r="U29" i="72"/>
  <c r="G29" i="72"/>
  <c r="H96" i="117"/>
  <c r="U96" i="117"/>
  <c r="O89" i="117"/>
  <c r="V89" i="117"/>
  <c r="V69" i="117"/>
  <c r="N69" i="117"/>
  <c r="G26" i="117"/>
  <c r="G25" i="107"/>
  <c r="G21" i="101"/>
  <c r="S21" i="101"/>
  <c r="G34" i="112"/>
  <c r="J30" i="114"/>
  <c r="J28" i="110"/>
  <c r="G26" i="109"/>
  <c r="O35" i="94"/>
  <c r="AC36" i="99"/>
  <c r="AD39" i="99"/>
  <c r="AE39" i="99" s="1"/>
  <c r="AH30" i="102"/>
  <c r="O32" i="94"/>
  <c r="H58" i="117"/>
  <c r="AO19" i="101"/>
  <c r="AK35" i="101"/>
  <c r="V31" i="101"/>
  <c r="O58" i="117"/>
  <c r="L34" i="99"/>
  <c r="M34" i="99" s="1"/>
  <c r="AO17" i="99"/>
  <c r="G89" i="117"/>
  <c r="O69" i="117"/>
  <c r="N26" i="117"/>
  <c r="O21" i="101"/>
  <c r="P21" i="101" s="1"/>
  <c r="AP21" i="101"/>
  <c r="AQ21" i="101" s="1"/>
  <c r="V21" i="101"/>
  <c r="G18" i="112"/>
  <c r="U35" i="94"/>
  <c r="G20" i="78"/>
  <c r="G36" i="99"/>
  <c r="W60" i="78"/>
  <c r="V16" i="72"/>
  <c r="S64" i="78"/>
  <c r="N36" i="99"/>
  <c r="Y73" i="78"/>
  <c r="AR19" i="101"/>
  <c r="Z35" i="101"/>
  <c r="W20" i="90"/>
  <c r="O17" i="99"/>
  <c r="P17" i="99" s="1"/>
  <c r="AS20" i="99"/>
  <c r="AT20" i="99" s="1"/>
  <c r="Y20" i="99"/>
  <c r="H32" i="118"/>
  <c r="N38" i="94"/>
  <c r="G38" i="94"/>
  <c r="W41" i="90"/>
  <c r="K29" i="90"/>
  <c r="AI29" i="90"/>
  <c r="P33" i="78"/>
  <c r="AI33" i="78"/>
  <c r="AH33" i="78"/>
  <c r="S36" i="78"/>
  <c r="P36" i="78"/>
  <c r="AH36" i="78"/>
  <c r="AE36" i="78"/>
  <c r="AN36" i="78"/>
  <c r="L19" i="78"/>
  <c r="M19" i="78" s="1"/>
  <c r="AJ19" i="78"/>
  <c r="AK19" i="78" s="1"/>
  <c r="P19" i="78"/>
  <c r="D19" i="78"/>
  <c r="S18" i="101"/>
  <c r="Z18" i="101"/>
  <c r="Y18" i="101"/>
  <c r="AO18" i="101"/>
  <c r="S25" i="99"/>
  <c r="G25" i="99"/>
  <c r="N38" i="72"/>
  <c r="O38" i="72"/>
  <c r="G38" i="72"/>
  <c r="V17" i="72"/>
  <c r="N17" i="72"/>
  <c r="H17" i="72"/>
  <c r="U88" i="117"/>
  <c r="O88" i="117"/>
  <c r="V26" i="102"/>
  <c r="J26" i="102"/>
  <c r="AE26" i="102"/>
  <c r="AB26" i="102"/>
  <c r="G26" i="102"/>
  <c r="N39" i="94"/>
  <c r="V39" i="94"/>
  <c r="H39" i="94"/>
  <c r="U39" i="94"/>
  <c r="O39" i="94"/>
  <c r="N33" i="96"/>
  <c r="H33" i="96"/>
  <c r="V35" i="94"/>
  <c r="H35" i="94"/>
  <c r="G35" i="94"/>
  <c r="Y21" i="101"/>
  <c r="AC21" i="101"/>
  <c r="S63" i="78"/>
  <c r="AI63" i="78"/>
  <c r="V73" i="78"/>
  <c r="AB73" i="78"/>
  <c r="AI73" i="78"/>
  <c r="G73" i="78"/>
  <c r="AJ73" i="78"/>
  <c r="AK73" i="78" s="1"/>
  <c r="D56" i="78"/>
  <c r="P56" i="78"/>
  <c r="AI56" i="78"/>
  <c r="G56" i="78"/>
  <c r="AH56" i="78"/>
  <c r="AD35" i="101"/>
  <c r="AE35" i="101" s="1"/>
  <c r="AA35" i="101"/>
  <c r="AB35" i="101" s="1"/>
  <c r="AC35" i="101"/>
  <c r="L35" i="101"/>
  <c r="M35" i="101" s="1"/>
  <c r="AO35" i="101"/>
  <c r="AS35" i="101"/>
  <c r="AT35" i="101" s="1"/>
  <c r="D35" i="101"/>
  <c r="V35" i="101"/>
  <c r="K35" i="101"/>
  <c r="G35" i="101"/>
  <c r="Y35" i="101"/>
  <c r="S35" i="101"/>
  <c r="O35" i="101"/>
  <c r="P35" i="101" s="1"/>
  <c r="AN35" i="101"/>
  <c r="N35" i="101"/>
  <c r="AH35" i="101"/>
  <c r="AP39" i="99"/>
  <c r="AQ39" i="99" s="1"/>
  <c r="Z39" i="99"/>
  <c r="AN39" i="99"/>
  <c r="K39" i="99"/>
  <c r="AR39" i="99"/>
  <c r="AH39" i="99"/>
  <c r="Y39" i="99"/>
  <c r="D39" i="99"/>
  <c r="AC39" i="99"/>
  <c r="S39" i="99"/>
  <c r="AK39" i="99"/>
  <c r="G39" i="99"/>
  <c r="AH38" i="99"/>
  <c r="O38" i="99"/>
  <c r="P38" i="99" s="1"/>
  <c r="AA38" i="99"/>
  <c r="AB38" i="99" s="1"/>
  <c r="N38" i="96"/>
  <c r="U38" i="96"/>
  <c r="G38" i="96"/>
  <c r="U24" i="94"/>
  <c r="N24" i="94"/>
  <c r="AI24" i="90"/>
  <c r="K24" i="90"/>
  <c r="J64" i="78"/>
  <c r="W64" i="78"/>
  <c r="AN64" i="78"/>
  <c r="L64" i="78"/>
  <c r="M64" i="78" s="1"/>
  <c r="AH64" i="78"/>
  <c r="AI64" i="78"/>
  <c r="D64" i="78"/>
  <c r="AJ64" i="78"/>
  <c r="AK64" i="78" s="1"/>
  <c r="W54" i="78"/>
  <c r="S54" i="78"/>
  <c r="X54" i="78"/>
  <c r="Y54" i="78" s="1"/>
  <c r="K54" i="78"/>
  <c r="D54" i="78"/>
  <c r="AB54" i="78"/>
  <c r="G54" i="78"/>
  <c r="L54" i="78"/>
  <c r="M54" i="78" s="1"/>
  <c r="AN27" i="78"/>
  <c r="AJ27" i="78"/>
  <c r="AK27" i="78" s="1"/>
  <c r="G27" i="78"/>
  <c r="AI27" i="78"/>
  <c r="O34" i="72"/>
  <c r="U34" i="72"/>
  <c r="G34" i="72"/>
  <c r="W38" i="90"/>
  <c r="K38" i="90"/>
  <c r="AL17" i="102"/>
  <c r="AJ17" i="102"/>
  <c r="AK17" i="102" s="1"/>
  <c r="K17" i="102"/>
  <c r="AM17" i="102"/>
  <c r="AN17" i="102" s="1"/>
  <c r="P17" i="102"/>
  <c r="AR27" i="101"/>
  <c r="AN27" i="101"/>
  <c r="L27" i="101"/>
  <c r="M27" i="101" s="1"/>
  <c r="AS27" i="101"/>
  <c r="AT27" i="101" s="1"/>
  <c r="Z27" i="101"/>
  <c r="Y27" i="101"/>
  <c r="AO27" i="101"/>
  <c r="AC27" i="101"/>
  <c r="K27" i="101"/>
  <c r="V26" i="118"/>
  <c r="O26" i="118"/>
  <c r="O24" i="118"/>
  <c r="V24" i="118"/>
  <c r="H24" i="118"/>
  <c r="D16" i="110"/>
  <c r="J16" i="110"/>
  <c r="G16" i="110"/>
  <c r="G34" i="117"/>
  <c r="O34" i="117"/>
  <c r="G67" i="117"/>
  <c r="O67" i="117"/>
  <c r="U67" i="117"/>
  <c r="H67" i="117"/>
  <c r="V54" i="117"/>
  <c r="U54" i="117"/>
  <c r="N54" i="117"/>
  <c r="H54" i="117"/>
  <c r="G103" i="117"/>
  <c r="H103" i="117"/>
  <c r="N103" i="117"/>
  <c r="O103" i="117"/>
  <c r="G74" i="117"/>
  <c r="U74" i="117"/>
  <c r="V74" i="117"/>
  <c r="N74" i="117"/>
  <c r="G99" i="117"/>
  <c r="O99" i="117"/>
  <c r="J34" i="107"/>
  <c r="D34" i="107"/>
  <c r="AJ28" i="102"/>
  <c r="AK28" i="102" s="1"/>
  <c r="X28" i="102"/>
  <c r="Y28" i="102" s="1"/>
  <c r="AI28" i="102"/>
  <c r="V28" i="102"/>
  <c r="G28" i="102"/>
  <c r="AL28" i="102"/>
  <c r="P28" i="102"/>
  <c r="J28" i="102"/>
  <c r="AI23" i="102"/>
  <c r="W23" i="102"/>
  <c r="P23" i="102"/>
  <c r="D23" i="102"/>
  <c r="AM23" i="102"/>
  <c r="AN23" i="102" s="1"/>
  <c r="V23" i="102"/>
  <c r="D37" i="101"/>
  <c r="AS37" i="101"/>
  <c r="AT37" i="101" s="1"/>
  <c r="O37" i="101"/>
  <c r="P37" i="101" s="1"/>
  <c r="AR37" i="101"/>
  <c r="Z37" i="101"/>
  <c r="AH37" i="101"/>
  <c r="X36" i="102"/>
  <c r="Y36" i="102" s="1"/>
  <c r="G36" i="102"/>
  <c r="J29" i="101"/>
  <c r="V29" i="101"/>
  <c r="S29" i="101"/>
  <c r="AA29" i="101"/>
  <c r="AB29" i="101" s="1"/>
  <c r="O29" i="101"/>
  <c r="P29" i="101" s="1"/>
  <c r="Y29" i="101"/>
  <c r="AS29" i="101"/>
  <c r="AT29" i="101" s="1"/>
  <c r="AD29" i="101"/>
  <c r="AE29" i="101" s="1"/>
  <c r="Z29" i="101"/>
  <c r="J38" i="114"/>
  <c r="V30" i="94"/>
  <c r="H30" i="94"/>
  <c r="H25" i="94"/>
  <c r="U25" i="94"/>
  <c r="W67" i="78"/>
  <c r="S67" i="78"/>
  <c r="AJ60" i="78"/>
  <c r="AK60" i="78" s="1"/>
  <c r="AH60" i="78"/>
  <c r="H38" i="118"/>
  <c r="O38" i="118"/>
  <c r="H33" i="118"/>
  <c r="V33" i="118"/>
  <c r="H30" i="117"/>
  <c r="O30" i="117"/>
  <c r="G30" i="117"/>
  <c r="G65" i="117"/>
  <c r="V65" i="117"/>
  <c r="U65" i="117"/>
  <c r="O65" i="117"/>
  <c r="H65" i="117"/>
  <c r="N94" i="117"/>
  <c r="U94" i="117"/>
  <c r="V94" i="117"/>
  <c r="V40" i="117"/>
  <c r="G40" i="117"/>
  <c r="O40" i="117"/>
  <c r="P30" i="102"/>
  <c r="AJ30" i="102"/>
  <c r="AK30" i="102" s="1"/>
  <c r="V30" i="102"/>
  <c r="AE30" i="102"/>
  <c r="N33" i="101"/>
  <c r="AD33" i="101"/>
  <c r="AE33" i="101" s="1"/>
  <c r="Y33" i="101"/>
  <c r="S33" i="101"/>
  <c r="AA33" i="101"/>
  <c r="AB33" i="101" s="1"/>
  <c r="AP33" i="101"/>
  <c r="AQ33" i="101" s="1"/>
  <c r="D33" i="102"/>
  <c r="W33" i="102"/>
  <c r="AJ33" i="102"/>
  <c r="AK33" i="102" s="1"/>
  <c r="AL33" i="102"/>
  <c r="AE33" i="102"/>
  <c r="AN33" i="102"/>
  <c r="AN31" i="101"/>
  <c r="AC31" i="101"/>
  <c r="K31" i="101"/>
  <c r="AS31" i="101"/>
  <c r="AT31" i="101" s="1"/>
  <c r="J31" i="101"/>
  <c r="O31" i="101"/>
  <c r="P31" i="101" s="1"/>
  <c r="AA31" i="101"/>
  <c r="AB31" i="101" s="1"/>
  <c r="AP31" i="101"/>
  <c r="AQ31" i="101" s="1"/>
  <c r="L31" i="101"/>
  <c r="M31" i="101" s="1"/>
  <c r="AR31" i="101"/>
  <c r="G31" i="101"/>
  <c r="Y31" i="101"/>
  <c r="S31" i="101"/>
  <c r="Z31" i="101"/>
  <c r="AO31" i="101"/>
  <c r="AH31" i="101"/>
  <c r="N31" i="101"/>
  <c r="K20" i="102"/>
  <c r="J20" i="102"/>
  <c r="AK17" i="101"/>
  <c r="G17" i="101"/>
  <c r="AS17" i="101"/>
  <c r="AT17" i="101" s="1"/>
  <c r="N17" i="101"/>
  <c r="AR17" i="101"/>
  <c r="AN17" i="101"/>
  <c r="K17" i="101"/>
  <c r="AD27" i="99"/>
  <c r="AE27" i="99" s="1"/>
  <c r="AP27" i="99"/>
  <c r="AQ27" i="99" s="1"/>
  <c r="AN27" i="99"/>
  <c r="O18" i="96"/>
  <c r="G18" i="96"/>
  <c r="H34" i="94"/>
  <c r="V34" i="94"/>
  <c r="W31" i="90"/>
  <c r="K31" i="90"/>
  <c r="W34" i="90"/>
  <c r="AI34" i="90"/>
  <c r="L70" i="78"/>
  <c r="M70" i="78" s="1"/>
  <c r="AN70" i="78"/>
  <c r="V70" i="78"/>
  <c r="X70" i="78"/>
  <c r="Y70" i="78" s="1"/>
  <c r="AI70" i="78"/>
  <c r="G70" i="78"/>
  <c r="J70" i="78"/>
  <c r="W70" i="78"/>
  <c r="AJ53" i="78"/>
  <c r="AK53" i="78" s="1"/>
  <c r="P53" i="78"/>
  <c r="L53" i="78"/>
  <c r="M53" i="78" s="1"/>
  <c r="AB53" i="78"/>
  <c r="V53" i="78"/>
  <c r="AJ22" i="78"/>
  <c r="AK22" i="78" s="1"/>
  <c r="AB22" i="78"/>
  <c r="V22" i="78"/>
  <c r="P22" i="78"/>
  <c r="W22" i="78"/>
  <c r="N22" i="72"/>
  <c r="U22" i="72"/>
  <c r="AH27" i="102"/>
  <c r="AM27" i="102"/>
  <c r="AN27" i="102" s="1"/>
  <c r="D27" i="102"/>
  <c r="AN32" i="101"/>
  <c r="K32" i="101"/>
  <c r="J32" i="101"/>
  <c r="Y32" i="101"/>
  <c r="V32" i="101"/>
  <c r="AC32" i="101"/>
  <c r="AD32" i="101"/>
  <c r="AE32" i="101" s="1"/>
  <c r="M32" i="101"/>
  <c r="AO32" i="101"/>
  <c r="O90" i="117"/>
  <c r="H28" i="117"/>
  <c r="N28" i="117"/>
  <c r="U28" i="117"/>
  <c r="G28" i="117"/>
  <c r="V28" i="117"/>
  <c r="P18" i="102"/>
  <c r="J18" i="102"/>
  <c r="AK18" i="102"/>
  <c r="AD21" i="101"/>
  <c r="AE21" i="101" s="1"/>
  <c r="AO21" i="101"/>
  <c r="AA21" i="101"/>
  <c r="AB21" i="101" s="1"/>
  <c r="J21" i="101"/>
  <c r="AH21" i="101"/>
  <c r="AN21" i="101"/>
  <c r="AK21" i="101"/>
  <c r="N34" i="96"/>
  <c r="G34" i="96"/>
  <c r="AH63" i="78"/>
  <c r="P63" i="78"/>
  <c r="X63" i="78"/>
  <c r="Y63" i="78" s="1"/>
  <c r="S73" i="78"/>
  <c r="D73" i="78"/>
  <c r="AH73" i="78"/>
  <c r="P73" i="78"/>
  <c r="K73" i="78"/>
  <c r="S32" i="102"/>
  <c r="AI32" i="102"/>
  <c r="X24" i="102"/>
  <c r="Y24" i="102" s="1"/>
  <c r="G24" i="102"/>
  <c r="V24" i="102"/>
  <c r="S24" i="102"/>
  <c r="AN38" i="101"/>
  <c r="AS38" i="101"/>
  <c r="AT38" i="101" s="1"/>
  <c r="L30" i="101"/>
  <c r="M30" i="101" s="1"/>
  <c r="AD30" i="101"/>
  <c r="AE30" i="101" s="1"/>
  <c r="G56" i="117"/>
  <c r="H56" i="117"/>
  <c r="AM34" i="102"/>
  <c r="AN34" i="102" s="1"/>
  <c r="AJ34" i="102"/>
  <c r="AK34" i="102" s="1"/>
  <c r="L34" i="102"/>
  <c r="AP20" i="101"/>
  <c r="AQ20" i="101" s="1"/>
  <c r="S20" i="101"/>
  <c r="H94" i="117"/>
  <c r="G94" i="117"/>
  <c r="H74" i="117"/>
  <c r="O74" i="117"/>
  <c r="K29" i="101"/>
  <c r="AH29" i="101"/>
  <c r="C11" i="88"/>
  <c r="C11" i="87"/>
  <c r="D11" i="111"/>
  <c r="D11" i="106"/>
  <c r="F11" i="106"/>
  <c r="F11" i="111"/>
  <c r="C11" i="33"/>
  <c r="C11" i="119"/>
  <c r="C11" i="96"/>
  <c r="C11" i="94"/>
  <c r="C11" i="116"/>
  <c r="C11" i="115"/>
  <c r="C11" i="90"/>
  <c r="C11" i="78"/>
  <c r="C11" i="110"/>
  <c r="C11" i="107"/>
  <c r="C11" i="114"/>
  <c r="C11" i="109"/>
  <c r="C11" i="112"/>
  <c r="C11" i="108"/>
  <c r="C11" i="113"/>
  <c r="C11" i="117"/>
  <c r="C11" i="72"/>
  <c r="C11" i="101"/>
  <c r="C11" i="99"/>
  <c r="Z48" i="90"/>
  <c r="AL48" i="90"/>
  <c r="N48" i="90"/>
  <c r="C46" i="90" l="1"/>
  <c r="X79" i="90"/>
  <c r="Y79" i="90" s="1"/>
  <c r="AK44" i="90"/>
  <c r="X44" i="90"/>
  <c r="Y44" i="90" s="1"/>
  <c r="X77" i="90"/>
  <c r="Y77" i="90" s="1"/>
  <c r="AE78" i="90"/>
  <c r="M79" i="90"/>
  <c r="G79" i="90"/>
  <c r="M59" i="90"/>
  <c r="X63" i="90"/>
  <c r="Y63" i="90" s="1"/>
  <c r="X58" i="90"/>
  <c r="Y58" i="90" s="1"/>
  <c r="AJ66" i="90"/>
  <c r="AK66" i="90" s="1"/>
  <c r="AJ63" i="90"/>
  <c r="AK63" i="90" s="1"/>
  <c r="AJ70" i="90"/>
  <c r="AK70" i="90" s="1"/>
  <c r="AJ74" i="90"/>
  <c r="AK74" i="90" s="1"/>
  <c r="X73" i="90"/>
  <c r="Y73" i="90" s="1"/>
  <c r="X69" i="90"/>
  <c r="Y69" i="90" s="1"/>
  <c r="L64" i="90"/>
  <c r="M64" i="90" s="1"/>
  <c r="L54" i="90"/>
  <c r="M54" i="90" s="1"/>
  <c r="M63" i="90"/>
  <c r="X64" i="90"/>
  <c r="Y64" i="90" s="1"/>
  <c r="S63" i="90"/>
  <c r="AJ72" i="90"/>
  <c r="AK72" i="90" s="1"/>
  <c r="X78" i="90"/>
  <c r="Y78" i="90" s="1"/>
  <c r="X43" i="90"/>
  <c r="Y43" i="90" s="1"/>
  <c r="S64" i="90"/>
  <c r="AE72" i="90"/>
  <c r="X65" i="90"/>
  <c r="Y65" i="90" s="1"/>
  <c r="L68" i="90"/>
  <c r="M68" i="90" s="1"/>
  <c r="L76" i="90"/>
  <c r="M76" i="90" s="1"/>
  <c r="L70" i="90"/>
  <c r="M70" i="90" s="1"/>
  <c r="L57" i="90"/>
  <c r="M57" i="90" s="1"/>
  <c r="AJ75" i="90"/>
  <c r="AK75" i="90" s="1"/>
  <c r="AE74" i="90"/>
  <c r="V79" i="90"/>
  <c r="X72" i="90"/>
  <c r="Y72" i="90" s="1"/>
  <c r="L77" i="90"/>
  <c r="M77" i="90" s="1"/>
  <c r="L69" i="90"/>
  <c r="M69" i="90" s="1"/>
  <c r="AJ68" i="90"/>
  <c r="AK68" i="90" s="1"/>
  <c r="L78" i="90"/>
  <c r="M78" i="90" s="1"/>
  <c r="X71" i="90"/>
  <c r="Y71" i="90" s="1"/>
  <c r="V73" i="90"/>
  <c r="AJ73" i="90"/>
  <c r="AK73" i="90" s="1"/>
  <c r="AJ79" i="90"/>
  <c r="AK79" i="90" s="1"/>
  <c r="X76" i="90"/>
  <c r="Y76" i="90" s="1"/>
  <c r="X70" i="90"/>
  <c r="Y70" i="90" s="1"/>
  <c r="J63" i="90"/>
  <c r="M67" i="90"/>
  <c r="X62" i="90"/>
  <c r="Y62" i="90" s="1"/>
  <c r="L60" i="90"/>
  <c r="M60" i="90" s="1"/>
  <c r="L62" i="90"/>
  <c r="M62" i="90" s="1"/>
  <c r="G54" i="90"/>
  <c r="G62" i="90"/>
  <c r="X61" i="90"/>
  <c r="Y61" i="90" s="1"/>
  <c r="AJ61" i="90"/>
  <c r="AK61" i="90" s="1"/>
  <c r="L56" i="90"/>
  <c r="M56" i="90" s="1"/>
  <c r="AJ60" i="90"/>
  <c r="AK60" i="90" s="1"/>
  <c r="L55" i="90"/>
  <c r="M55" i="90" s="1"/>
  <c r="G59" i="90"/>
  <c r="G57" i="90"/>
  <c r="S58" i="90"/>
  <c r="G55" i="90"/>
  <c r="X54" i="90"/>
  <c r="Y54" i="90" s="1"/>
  <c r="AJ54" i="90"/>
  <c r="AK54" i="90" s="1"/>
  <c r="L61" i="90"/>
  <c r="M61" i="90" s="1"/>
  <c r="AJ55" i="90"/>
  <c r="AK55" i="90" s="1"/>
  <c r="S72" i="90"/>
  <c r="G72" i="90"/>
  <c r="S77" i="90"/>
  <c r="X60" i="90"/>
  <c r="Y60" i="90" s="1"/>
  <c r="AE63" i="90"/>
  <c r="AE68" i="90"/>
  <c r="S62" i="90"/>
  <c r="G76" i="90"/>
  <c r="G70" i="90"/>
  <c r="X59" i="90"/>
  <c r="Y59" i="90" s="1"/>
  <c r="X66" i="90"/>
  <c r="Y66" i="90" s="1"/>
  <c r="S75" i="90"/>
  <c r="X55" i="90"/>
  <c r="Y55" i="90" s="1"/>
  <c r="X56" i="90"/>
  <c r="Y56" i="90" s="1"/>
  <c r="AJ56" i="90"/>
  <c r="AK56" i="90" s="1"/>
  <c r="AJ69" i="90"/>
  <c r="AK69" i="90" s="1"/>
  <c r="AJ71" i="90"/>
  <c r="AK71" i="90" s="1"/>
  <c r="AJ76" i="90"/>
  <c r="AK76" i="90" s="1"/>
  <c r="L66" i="90"/>
  <c r="M66" i="90" s="1"/>
  <c r="L74" i="90"/>
  <c r="M74" i="90" s="1"/>
  <c r="AJ64" i="90"/>
  <c r="AK64" i="90" s="1"/>
  <c r="G64" i="90"/>
  <c r="G60" i="90"/>
  <c r="J69" i="90"/>
  <c r="L71" i="90"/>
  <c r="M71" i="90" s="1"/>
  <c r="AJ65" i="90"/>
  <c r="AK65" i="90" s="1"/>
  <c r="L65" i="90"/>
  <c r="M65" i="90" s="1"/>
  <c r="X67" i="90"/>
  <c r="Y67" i="90" s="1"/>
  <c r="J67" i="90"/>
  <c r="AJ58" i="90"/>
  <c r="AK58" i="90" s="1"/>
  <c r="L58" i="90"/>
  <c r="M58" i="90" s="1"/>
  <c r="L75" i="90"/>
  <c r="M75" i="90" s="1"/>
  <c r="L73" i="90"/>
  <c r="M73" i="90" s="1"/>
  <c r="X74" i="90"/>
  <c r="Y74" i="90" s="1"/>
  <c r="AJ62" i="90"/>
  <c r="AK62" i="90" s="1"/>
  <c r="G61" i="90"/>
  <c r="S70" i="90"/>
  <c r="AJ59" i="90"/>
  <c r="AK59" i="90" s="1"/>
  <c r="AJ77" i="90"/>
  <c r="AK77" i="90" s="1"/>
  <c r="AH60" i="90"/>
  <c r="X68" i="90"/>
  <c r="Y68" i="90" s="1"/>
  <c r="AJ67" i="90"/>
  <c r="AK67" i="90" s="1"/>
  <c r="X57" i="90"/>
  <c r="Y57" i="90" s="1"/>
  <c r="AJ57" i="90"/>
  <c r="AK57" i="90" s="1"/>
  <c r="S44" i="90"/>
  <c r="AJ22" i="90"/>
  <c r="AK22" i="90" s="1"/>
  <c r="AH22" i="90"/>
  <c r="AJ43" i="90"/>
  <c r="AK43" i="90" s="1"/>
  <c r="L43" i="90"/>
  <c r="M43" i="90" s="1"/>
  <c r="AD43" i="79"/>
  <c r="AE43" i="79" s="1"/>
  <c r="L43" i="79"/>
  <c r="M43" i="79" s="1"/>
  <c r="O43" i="79"/>
  <c r="P43" i="79" s="1"/>
  <c r="K43" i="79"/>
  <c r="AR43" i="79"/>
  <c r="Z43" i="79"/>
  <c r="N43" i="79"/>
  <c r="AC43" i="79"/>
  <c r="AO43" i="79"/>
  <c r="AP43" i="79"/>
  <c r="AQ43" i="79" s="1"/>
  <c r="AS43" i="79"/>
  <c r="AT43" i="79" s="1"/>
  <c r="AA43" i="79"/>
  <c r="AB43" i="79" s="1"/>
  <c r="X42" i="90"/>
  <c r="Y42" i="90" s="1"/>
  <c r="AJ42" i="90"/>
  <c r="AK42" i="90" s="1"/>
  <c r="L42" i="90"/>
  <c r="M42" i="90" s="1"/>
  <c r="X38" i="90"/>
  <c r="Y38" i="90" s="1"/>
  <c r="AJ41" i="90"/>
  <c r="AK41" i="90" s="1"/>
  <c r="L36" i="90"/>
  <c r="M36" i="90" s="1"/>
  <c r="X39" i="90"/>
  <c r="Y39" i="90" s="1"/>
  <c r="X41" i="90"/>
  <c r="Y41" i="90" s="1"/>
  <c r="X36" i="90"/>
  <c r="Y36" i="90" s="1"/>
  <c r="L39" i="90"/>
  <c r="M39" i="90" s="1"/>
  <c r="AJ40" i="90"/>
  <c r="AK40" i="90" s="1"/>
  <c r="X37" i="90"/>
  <c r="Y37" i="90" s="1"/>
  <c r="L41" i="90"/>
  <c r="M41" i="90" s="1"/>
  <c r="X40" i="90"/>
  <c r="Y40" i="90" s="1"/>
  <c r="AE40" i="90"/>
  <c r="L40" i="90"/>
  <c r="M40" i="90" s="1"/>
  <c r="S39" i="90"/>
  <c r="AJ39" i="90"/>
  <c r="AK39" i="90" s="1"/>
  <c r="AJ33" i="90"/>
  <c r="AK33" i="90" s="1"/>
  <c r="AE33" i="90"/>
  <c r="G36" i="90"/>
  <c r="AJ36" i="90"/>
  <c r="AK36" i="90" s="1"/>
  <c r="L38" i="90"/>
  <c r="M38" i="90" s="1"/>
  <c r="L35" i="90"/>
  <c r="M35" i="90" s="1"/>
  <c r="AM11" i="102"/>
  <c r="X33" i="90"/>
  <c r="Y33" i="90" s="1"/>
  <c r="L33" i="90"/>
  <c r="M33" i="90" s="1"/>
  <c r="X23" i="90"/>
  <c r="Y23" i="90" s="1"/>
  <c r="AL43" i="102"/>
  <c r="K45" i="78"/>
  <c r="X45" i="78"/>
  <c r="Y45" i="78" s="1"/>
  <c r="K43" i="102"/>
  <c r="L45" i="78"/>
  <c r="M45" i="78" s="1"/>
  <c r="W45" i="78"/>
  <c r="AI45" i="78"/>
  <c r="AO44" i="101"/>
  <c r="W43" i="102"/>
  <c r="AI79" i="78"/>
  <c r="AJ43" i="102"/>
  <c r="AK43" i="102" s="1"/>
  <c r="L25" i="90"/>
  <c r="M25" i="90" s="1"/>
  <c r="O11" i="102"/>
  <c r="J11" i="118"/>
  <c r="AJ27" i="90"/>
  <c r="AK27" i="90" s="1"/>
  <c r="AE27" i="90"/>
  <c r="X21" i="90"/>
  <c r="Y21" i="90" s="1"/>
  <c r="L22" i="90"/>
  <c r="M22" i="90" s="1"/>
  <c r="X34" i="90"/>
  <c r="Y34" i="90" s="1"/>
  <c r="L21" i="90"/>
  <c r="M21" i="90" s="1"/>
  <c r="L20" i="90"/>
  <c r="M20" i="90" s="1"/>
  <c r="AJ21" i="90"/>
  <c r="AK21" i="90" s="1"/>
  <c r="AJ31" i="90"/>
  <c r="AK31" i="90" s="1"/>
  <c r="X19" i="90"/>
  <c r="Y19" i="90" s="1"/>
  <c r="AJ28" i="90"/>
  <c r="AK28" i="90" s="1"/>
  <c r="L23" i="90"/>
  <c r="M23" i="90" s="1"/>
  <c r="AJ20" i="90"/>
  <c r="AK20" i="90" s="1"/>
  <c r="AE21" i="90"/>
  <c r="S19" i="90"/>
  <c r="L32" i="90"/>
  <c r="M32" i="90" s="1"/>
  <c r="AH31" i="90"/>
  <c r="X27" i="90"/>
  <c r="Y27" i="90" s="1"/>
  <c r="X30" i="90"/>
  <c r="Y30" i="90" s="1"/>
  <c r="X20" i="90"/>
  <c r="Y20" i="90" s="1"/>
  <c r="L28" i="90"/>
  <c r="M28" i="90" s="1"/>
  <c r="F81" i="90"/>
  <c r="G81" i="90" s="1"/>
  <c r="AE22" i="90"/>
  <c r="AJ30" i="90"/>
  <c r="AK30" i="90" s="1"/>
  <c r="S34" i="90"/>
  <c r="X22" i="90"/>
  <c r="Y22" i="90" s="1"/>
  <c r="L27" i="90"/>
  <c r="M27" i="90" s="1"/>
  <c r="AD46" i="90"/>
  <c r="AE46" i="90" s="1"/>
  <c r="AJ32" i="90"/>
  <c r="AK32" i="90" s="1"/>
  <c r="AJ23" i="90"/>
  <c r="AK23" i="90" s="1"/>
  <c r="R46" i="90"/>
  <c r="S46" i="90" s="1"/>
  <c r="AA81" i="90"/>
  <c r="AB81" i="90" s="1"/>
  <c r="AJ19" i="90"/>
  <c r="AK19" i="90" s="1"/>
  <c r="D46" i="90"/>
  <c r="AE19" i="90"/>
  <c r="W79" i="78"/>
  <c r="AI43" i="102"/>
  <c r="X28" i="90"/>
  <c r="Y28" i="90" s="1"/>
  <c r="AO44" i="99"/>
  <c r="X25" i="90"/>
  <c r="Y25" i="90" s="1"/>
  <c r="R81" i="90"/>
  <c r="S81" i="90" s="1"/>
  <c r="I46" i="90"/>
  <c r="J46" i="90" s="1"/>
  <c r="X31" i="90"/>
  <c r="Y31" i="90" s="1"/>
  <c r="K79" i="78"/>
  <c r="K81" i="90"/>
  <c r="L44" i="99"/>
  <c r="M44" i="99" s="1"/>
  <c r="X79" i="78"/>
  <c r="Y79" i="78" s="1"/>
  <c r="AJ25" i="90"/>
  <c r="AK25" i="90" s="1"/>
  <c r="L30" i="90"/>
  <c r="M30" i="90" s="1"/>
  <c r="L19" i="90"/>
  <c r="M19" i="90" s="1"/>
  <c r="I81" i="90"/>
  <c r="J81" i="90" s="1"/>
  <c r="L24" i="90"/>
  <c r="M24" i="90" s="1"/>
  <c r="L34" i="90"/>
  <c r="M34" i="90" s="1"/>
  <c r="S25" i="90"/>
  <c r="AE37" i="90"/>
  <c r="AJ37" i="90"/>
  <c r="AK37" i="90" s="1"/>
  <c r="AM43" i="102"/>
  <c r="AN43" i="102" s="1"/>
  <c r="L79" i="78"/>
  <c r="M79" i="78" s="1"/>
  <c r="U81" i="90"/>
  <c r="V81" i="90" s="1"/>
  <c r="AJ45" i="78"/>
  <c r="AK45" i="78" s="1"/>
  <c r="L29" i="90"/>
  <c r="M29" i="90" s="1"/>
  <c r="L31" i="90"/>
  <c r="M31" i="90" s="1"/>
  <c r="AG46" i="90"/>
  <c r="AH46" i="90" s="1"/>
  <c r="U46" i="90"/>
  <c r="V46" i="90" s="1"/>
  <c r="O46" i="90"/>
  <c r="P46" i="90" s="1"/>
  <c r="AJ79" i="78"/>
  <c r="AK79" i="78" s="1"/>
  <c r="AJ38" i="90"/>
  <c r="AK38" i="90" s="1"/>
  <c r="L37" i="90"/>
  <c r="M37" i="90" s="1"/>
  <c r="G37" i="90"/>
  <c r="N44" i="101"/>
  <c r="K44" i="99"/>
  <c r="AA46" i="90"/>
  <c r="AB46" i="90" s="1"/>
  <c r="X43" i="102"/>
  <c r="Y43" i="102" s="1"/>
  <c r="K46" i="90"/>
  <c r="J26" i="90"/>
  <c r="L26" i="90"/>
  <c r="M26" i="90" s="1"/>
  <c r="W46" i="90"/>
  <c r="AI81" i="90"/>
  <c r="L44" i="101"/>
  <c r="M44" i="101" s="1"/>
  <c r="AD44" i="101"/>
  <c r="AE44" i="101" s="1"/>
  <c r="AR44" i="99"/>
  <c r="X35" i="90"/>
  <c r="Y35" i="90" s="1"/>
  <c r="AA44" i="101"/>
  <c r="AB44" i="101" s="1"/>
  <c r="Z44" i="101"/>
  <c r="W81" i="90"/>
  <c r="AI46" i="90"/>
  <c r="AC44" i="99"/>
  <c r="AM81" i="90"/>
  <c r="AN81" i="90" s="1"/>
  <c r="AR44" i="101"/>
  <c r="AJ35" i="90"/>
  <c r="AK35" i="90" s="1"/>
  <c r="AC44" i="101"/>
  <c r="Z44" i="99"/>
  <c r="N44" i="99"/>
  <c r="AD44" i="99"/>
  <c r="AE44" i="99" s="1"/>
  <c r="F46" i="90"/>
  <c r="G46" i="90" s="1"/>
  <c r="AD81" i="90"/>
  <c r="AE81" i="90" s="1"/>
  <c r="O44" i="101"/>
  <c r="P44" i="101" s="1"/>
  <c r="X32" i="90"/>
  <c r="Y32" i="90" s="1"/>
  <c r="X29" i="90"/>
  <c r="Y29" i="90" s="1"/>
  <c r="AJ29" i="90"/>
  <c r="AK29" i="90" s="1"/>
  <c r="V34" i="90"/>
  <c r="AS44" i="99"/>
  <c r="AT44" i="99" s="1"/>
  <c r="AA44" i="99"/>
  <c r="AB44" i="99" s="1"/>
  <c r="O44" i="99"/>
  <c r="P44" i="99" s="1"/>
  <c r="C81" i="90"/>
  <c r="D81" i="90" s="1"/>
  <c r="AG81" i="90"/>
  <c r="AH81" i="90" s="1"/>
  <c r="AJ26" i="90"/>
  <c r="AK26" i="90" s="1"/>
  <c r="AP44" i="99"/>
  <c r="AQ44" i="99" s="1"/>
  <c r="AS44" i="101"/>
  <c r="AT44" i="101" s="1"/>
  <c r="AM46" i="90"/>
  <c r="AN46" i="90" s="1"/>
  <c r="O81" i="90"/>
  <c r="P81" i="90" s="1"/>
  <c r="K44" i="101"/>
  <c r="AJ34" i="90"/>
  <c r="AK34" i="90" s="1"/>
  <c r="AE34" i="90"/>
  <c r="S26" i="90"/>
  <c r="X26" i="90"/>
  <c r="Y26" i="90" s="1"/>
  <c r="S24" i="90"/>
  <c r="X24" i="90"/>
  <c r="Y24" i="90" s="1"/>
  <c r="AJ24" i="90"/>
  <c r="AK24" i="90" s="1"/>
  <c r="AE24" i="90"/>
  <c r="AP44" i="101"/>
  <c r="AQ44" i="101" s="1"/>
  <c r="L43" i="102"/>
  <c r="M43" i="102" s="1"/>
  <c r="M34" i="102"/>
  <c r="R11" i="99"/>
  <c r="AG11" i="99"/>
  <c r="Z13" i="90"/>
  <c r="O11" i="90"/>
  <c r="B13" i="90"/>
  <c r="AL13" i="90"/>
  <c r="AM11" i="90"/>
  <c r="N13" i="90"/>
  <c r="AA11" i="90"/>
  <c r="J11" i="119"/>
  <c r="Q11" i="119"/>
  <c r="J11" i="96"/>
  <c r="Q11" i="96"/>
  <c r="J11" i="72"/>
  <c r="Q11" i="72"/>
  <c r="J11" i="33"/>
  <c r="Q11" i="33"/>
  <c r="AG11" i="101"/>
  <c r="R11" i="101"/>
  <c r="J11" i="117"/>
  <c r="Q11" i="117"/>
  <c r="AM11" i="78"/>
  <c r="AL13" i="78"/>
  <c r="Z13" i="78"/>
  <c r="O11" i="78"/>
  <c r="N13" i="78"/>
  <c r="B13" i="78"/>
  <c r="AA11" i="78"/>
  <c r="Q11" i="94"/>
  <c r="J11" i="94"/>
  <c r="L81" i="90" l="1"/>
  <c r="M81" i="90" s="1"/>
  <c r="X81" i="90"/>
  <c r="Y81" i="90" s="1"/>
  <c r="L46" i="90"/>
  <c r="M46" i="90" s="1"/>
  <c r="AJ81" i="90"/>
  <c r="AK81" i="90" s="1"/>
  <c r="X46" i="90"/>
  <c r="Y46" i="90" s="1"/>
  <c r="AJ46" i="90"/>
  <c r="AK46" i="9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600-000001000000}">
      <text>
        <r>
          <rPr>
            <sz val="8"/>
            <color indexed="81"/>
            <rFont val="Tahoma"/>
            <family val="2"/>
          </rPr>
          <t>Age Group determined by the person's age at the time of the first service during the measurement period.</t>
        </r>
      </text>
    </comment>
    <comment ref="A18" authorId="0" shapeId="0" xr:uid="{00000000-0006-0000-0600-000002000000}">
      <text>
        <r>
          <rPr>
            <sz val="8"/>
            <color indexed="81"/>
            <rFont val="Tahoma"/>
            <family val="2"/>
          </rPr>
          <t xml:space="preserve">County names will automatically populate when LME-MCO name is entered in the Set-Up worksheet.
</t>
        </r>
      </text>
    </comment>
    <comment ref="A50" authorId="0" shapeId="0" xr:uid="{00000000-0006-0000-0600-000003000000}">
      <text>
        <r>
          <rPr>
            <sz val="8"/>
            <color indexed="81"/>
            <rFont val="Tahoma"/>
            <family val="2"/>
          </rPr>
          <t>Age Group determined by the person's age at the time of the first service during the measurement period.</t>
        </r>
      </text>
    </comment>
    <comment ref="A52" authorId="0" shapeId="0" xr:uid="{00000000-0006-0000-0600-00000400000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700-00000100000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800-00000100000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900-00000100000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B00-00000100000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7" authorId="0" shapeId="0" xr:uid="{00000000-0006-0000-1D00-000001000000}">
      <text>
        <r>
          <rPr>
            <sz val="8"/>
            <color indexed="81"/>
            <rFont val="Tahoma"/>
            <family val="2"/>
          </rPr>
          <t xml:space="preserve">County names will automatically populate when LME-MCO name is entered in the Set-Up worksheet.
</t>
        </r>
      </text>
    </comment>
    <comment ref="A51" authorId="0" shapeId="0" xr:uid="{00000000-0006-0000-1D00-000002000000}">
      <text>
        <r>
          <rPr>
            <sz val="8"/>
            <color indexed="81"/>
            <rFont val="Tahoma"/>
            <family val="2"/>
          </rPr>
          <t xml:space="preserve">County names will automatically populate when LME-MCO name is entered in the Set-Up worksheet.
</t>
        </r>
      </text>
    </comment>
    <comment ref="A85" authorId="0" shapeId="0" xr:uid="{00000000-0006-0000-1D00-00000300000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E00-00000100000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1F00-00000100000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D3" authorId="0" shapeId="0" xr:uid="{00000000-0006-0000-20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700-000001000000}">
      <text>
        <r>
          <rPr>
            <sz val="8"/>
            <color indexed="81"/>
            <rFont val="Tahoma"/>
            <family val="2"/>
          </rPr>
          <t>Age Group determined by the person's age at the time of the first service during the measurement period.</t>
        </r>
      </text>
    </comment>
    <comment ref="A18" authorId="0" shapeId="0" xr:uid="{00000000-0006-0000-0700-00000200000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51" authorId="0" shapeId="0" xr:uid="{00000000-0006-0000-0700-000003000000}">
      <text>
        <r>
          <rPr>
            <sz val="8"/>
            <color indexed="81"/>
            <rFont val="Tahoma"/>
            <family val="2"/>
          </rPr>
          <t>Age Group determined by the person's age at the time of the first service during the measurement period.</t>
        </r>
      </text>
    </comment>
    <comment ref="A53" authorId="0" shapeId="0" xr:uid="{00000000-0006-0000-0700-00000400000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H4" authorId="0" shapeId="0" xr:uid="{00000000-0006-0000-21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 authorId="0" shapeId="0" xr:uid="{588BFDAC-663D-42C7-A601-CE5D65F3D56B}">
      <text>
        <r>
          <rPr>
            <sz val="11"/>
            <color indexed="81"/>
            <rFont val="Arial"/>
            <family val="2"/>
            <scheme val="major"/>
          </rPr>
          <t xml:space="preserve">● Enter current population data in columns </t>
        </r>
        <r>
          <rPr>
            <b/>
            <sz val="11"/>
            <color indexed="81"/>
            <rFont val="Arial"/>
            <family val="2"/>
            <scheme val="major"/>
          </rPr>
          <t>G:H</t>
        </r>
        <r>
          <rPr>
            <sz val="11"/>
            <color indexed="81"/>
            <rFont val="Arial"/>
            <family val="2"/>
            <scheme val="major"/>
          </rPr>
          <t xml:space="preserve">. 
● Data in columns marked </t>
        </r>
        <r>
          <rPr>
            <b/>
            <sz val="11"/>
            <color indexed="81"/>
            <rFont val="Arial"/>
            <family val="2"/>
            <scheme val="major"/>
          </rPr>
          <t>"Linked"</t>
        </r>
        <r>
          <rPr>
            <sz val="11"/>
            <color indexed="81"/>
            <rFont val="Arial"/>
            <family val="2"/>
            <scheme val="major"/>
          </rPr>
          <t xml:space="preserve"> and </t>
        </r>
        <r>
          <rPr>
            <b/>
            <sz val="11"/>
            <color indexed="81"/>
            <rFont val="Arial"/>
            <family val="2"/>
            <scheme val="major"/>
          </rPr>
          <t>"Formula"</t>
        </r>
        <r>
          <rPr>
            <sz val="11"/>
            <color indexed="81"/>
            <rFont val="Arial"/>
            <family val="2"/>
            <scheme val="major"/>
          </rPr>
          <t xml:space="preserve"> are automatically generated.  
● Data in columns marked </t>
        </r>
        <r>
          <rPr>
            <b/>
            <sz val="11"/>
            <color indexed="81"/>
            <rFont val="Arial"/>
            <family val="2"/>
            <scheme val="major"/>
          </rPr>
          <t>"Linked"</t>
        </r>
        <r>
          <rPr>
            <sz val="11"/>
            <color indexed="81"/>
            <rFont val="Arial"/>
            <family val="2"/>
            <scheme val="major"/>
          </rPr>
          <t xml:space="preserve"> are linked to the "</t>
        </r>
        <r>
          <rPr>
            <b/>
            <sz val="11"/>
            <color indexed="81"/>
            <rFont val="Arial"/>
            <family val="2"/>
            <scheme val="major"/>
          </rPr>
          <t>Results By County-MH</t>
        </r>
        <r>
          <rPr>
            <sz val="11"/>
            <color indexed="81"/>
            <rFont val="Arial"/>
            <family val="2"/>
            <scheme val="major"/>
          </rPr>
          <t>" worksheet.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9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B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E00-000001000000}">
      <text>
        <r>
          <rPr>
            <sz val="8"/>
            <color indexed="81"/>
            <rFont val="Tahoma"/>
            <family val="2"/>
          </rPr>
          <t>Age Group determined by the person's age at the time of the first service during the measurement period.</t>
        </r>
      </text>
    </comment>
    <comment ref="A16" authorId="0" shapeId="0" xr:uid="{00000000-0006-0000-0E00-000002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F00-000001000000}">
      <text>
        <r>
          <rPr>
            <sz val="8"/>
            <color indexed="81"/>
            <rFont val="Tahoma"/>
            <family val="2"/>
          </rPr>
          <t>Age Group determined by the person's age at the time of the first service during the measurement period.</t>
        </r>
      </text>
    </comment>
    <comment ref="A16" authorId="0" shapeId="0" xr:uid="{00000000-0006-0000-0F00-000002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000-000001000000}">
      <text>
        <r>
          <rPr>
            <sz val="8"/>
            <color indexed="81"/>
            <rFont val="Tahoma"/>
            <family val="2"/>
          </rPr>
          <t>Age Group determined by the person's age at the time of the first service during the measurement period.</t>
        </r>
      </text>
    </comment>
    <comment ref="A16" authorId="0" shapeId="0" xr:uid="{00000000-0006-0000-1000-000002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<sst xmlns="http://schemas.openxmlformats.org/spreadsheetml/2006/main" count="4869" uniqueCount="492">
  <si>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</si>
  <si>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</si>
  <si>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</si>
  <si>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</si>
  <si>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</si>
  <si>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</si>
  <si>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</si>
  <si>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</si>
  <si>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</si>
  <si>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</si>
  <si>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</si>
  <si>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</si>
  <si>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</si>
  <si>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</si>
  <si>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</si>
  <si>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Eastpointe</t>
  </si>
  <si>
    <t>Partners Behavioral Health Management</t>
  </si>
  <si>
    <t>Sandhills Center</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</si>
  <si>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</si>
  <si>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</si>
  <si>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</si>
  <si>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</si>
  <si>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</si>
  <si>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</si>
  <si>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</si>
  <si>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</si>
  <si>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</si>
  <si>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</si>
  <si>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</si>
  <si>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</si>
  <si>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</si>
  <si>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</si>
  <si>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</si>
  <si>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</si>
  <si>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</si>
  <si>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</si>
  <si>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</si>
  <si>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</si>
  <si>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</si>
  <si>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</si>
  <si>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</si>
  <si>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</si>
  <si>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</si>
  <si>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</si>
  <si>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</si>
  <si>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</si>
  <si>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</si>
  <si>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</si>
  <si>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</si>
  <si>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</si>
  <si>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</si>
  <si>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</si>
  <si>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</si>
  <si>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</si>
  <si>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</si>
  <si>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</si>
  <si>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</si>
  <si>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</si>
  <si>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</si>
  <si>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</si>
  <si>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</si>
  <si>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</si>
  <si>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</si>
  <si>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</si>
  <si>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</si>
  <si>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</si>
  <si>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</si>
  <si>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</si>
  <si>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</si>
  <si>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</si>
  <si>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</si>
  <si>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</si>
  <si>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</si>
  <si>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</si>
  <si>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</si>
  <si>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</si>
  <si>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</si>
  <si>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</si>
  <si>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</si>
  <si>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</si>
  <si>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</si>
  <si>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</si>
  <si>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</si>
  <si>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</si>
  <si>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</si>
  <si>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</si>
  <si>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</si>
  <si>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</si>
  <si>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</si>
  <si>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</si>
  <si>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</si>
  <si>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</si>
  <si>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</si>
  <si>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</si>
  <si>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</si>
  <si>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</si>
  <si>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</si>
  <si>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</si>
  <si>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</si>
  <si>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</si>
  <si>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</si>
  <si>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</si>
  <si>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</si>
  <si>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</si>
  <si>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</si>
  <si>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</si>
  <si>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</si>
  <si>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</si>
  <si>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</si>
  <si>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</si>
  <si>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</si>
  <si>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</si>
  <si>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</si>
  <si>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</si>
  <si>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</si>
  <si>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</si>
  <si>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</si>
  <si>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</si>
  <si>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</si>
  <si>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</si>
  <si>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</si>
  <si>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</si>
  <si>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</si>
  <si>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</si>
  <si>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</si>
  <si>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</si>
  <si>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</si>
  <si>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</si>
  <si>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</si>
  <si>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</si>
  <si>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</si>
  <si>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</si>
  <si>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</si>
  <si>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</si>
  <si>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</si>
  <si>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</si>
  <si>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</si>
  <si>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</si>
  <si>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</si>
  <si>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</si>
  <si>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</si>
  <si>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</si>
  <si>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</si>
  <si>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</si>
  <si>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</si>
  <si>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</si>
  <si>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Timeframe</t>
  </si>
  <si>
    <t>Q1</t>
  </si>
  <si>
    <t>Q2</t>
  </si>
  <si>
    <t>Q3</t>
  </si>
  <si>
    <t>Q4</t>
  </si>
  <si>
    <t>Date range for the quarter:</t>
  </si>
  <si>
    <t>Report Period</t>
  </si>
  <si>
    <t>Report published two months after the end of the quarter:</t>
  </si>
  <si>
    <t>Report Published</t>
  </si>
  <si>
    <t>Indicator</t>
  </si>
  <si>
    <t>Data Source</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</si>
  <si>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</si>
  <si>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</si>
  <si>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</si>
  <si>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</si>
  <si>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</si>
  <si>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</si>
  <si>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</si>
  <si>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</si>
  <si>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</si>
  <si>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</si>
  <si>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</si>
  <si>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</si>
  <si>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</si>
  <si>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</si>
  <si>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</si>
  <si>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</si>
  <si>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</si>
  <si>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</si>
  <si>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</si>
  <si>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</si>
  <si>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</si>
  <si>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</si>
  <si>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</si>
  <si>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</si>
  <si>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</si>
  <si>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</si>
  <si>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</si>
  <si>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</si>
  <si>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State Fiscal Year:</t>
  </si>
  <si>
    <t>Report Quarter:</t>
  </si>
  <si>
    <t>Part II.  DMH/DD/SAS LME-MCO Quarterly Performance Measures</t>
  </si>
  <si>
    <t>Measurement Period:</t>
  </si>
  <si>
    <t>State/Federal Block Grant</t>
  </si>
  <si>
    <t>Payer</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</si>
  <si>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</si>
  <si>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</si>
  <si>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</si>
  <si>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</si>
  <si>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</si>
  <si>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</si>
  <si>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</si>
  <si>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</si>
  <si>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</si>
  <si>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</si>
  <si>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</si>
  <si>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</si>
  <si>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</si>
  <si>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</si>
  <si>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</si>
  <si>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</si>
  <si>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</si>
  <si>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</si>
  <si>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Of Uninsured Population</t>
  </si>
  <si>
    <t>County Name</t>
  </si>
  <si>
    <t>Urban vs. Rural</t>
  </si>
  <si>
    <t>Children 
(Ages 0-2)</t>
  </si>
  <si>
    <t>Children 
(Ages 3-17)</t>
  </si>
  <si>
    <t>Adults 
(Ages 21-64)</t>
  </si>
  <si>
    <t>Adults 
(Ages 65+)</t>
  </si>
  <si>
    <t>NonElderly Population (Ages 3-64)</t>
  </si>
  <si>
    <t>Adults 
(Ages 18-20)</t>
  </si>
  <si>
    <t>NonElderly  Adults 
(Ages 21-64)</t>
  </si>
  <si>
    <t>NonElderly Adults 
(Ages 18-64)</t>
  </si>
  <si>
    <t>NonElderly UnInsured Population (Ages 3-64)</t>
  </si>
  <si>
    <t>Urban</t>
  </si>
  <si>
    <t>Rural</t>
  </si>
  <si>
    <t>North Carolina</t>
  </si>
  <si>
    <t>LME-MCO Name</t>
  </si>
  <si>
    <t>Ages 21-64</t>
  </si>
  <si>
    <t>Ages 18-64</t>
  </si>
  <si>
    <t>Non-Elderly Uninsured (Ages 3-64)</t>
  </si>
  <si>
    <t>Grand Total</t>
  </si>
  <si>
    <t>LME-MCOs and Counties</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</si>
  <si>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</si>
  <si>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</si>
  <si>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</si>
  <si>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</si>
  <si>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</si>
  <si>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</si>
  <si>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</si>
  <si>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</si>
  <si>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</si>
  <si>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</si>
  <si>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</si>
  <si>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</si>
  <si>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</si>
  <si>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</si>
  <si>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</si>
  <si>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</si>
  <si>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</si>
  <si>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</si>
  <si>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</si>
  <si>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</si>
  <si>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</si>
  <si>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</si>
  <si>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</si>
  <si>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</si>
  <si>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</si>
  <si>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</si>
  <si>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</si>
  <si>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</si>
  <si>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</si>
  <si>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</si>
  <si>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</si>
  <si>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</si>
  <si>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</si>
  <si>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</si>
  <si>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</si>
  <si>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</si>
  <si>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</si>
  <si>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</si>
  <si>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</si>
  <si>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</si>
  <si>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</si>
  <si>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</si>
  <si>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</si>
  <si>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5.5  Emergency Department Readmissions (Medicaid Only)</t>
  </si>
  <si>
    <t>nt Readmissions (Medicaid Only)</t>
  </si>
  <si>
    <t>Timely Access To Care</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</si>
  <si>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</si>
  <si>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</si>
  <si>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</si>
  <si>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</si>
  <si>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</si>
  <si>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</si>
  <si>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</si>
  <si>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</si>
  <si>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</si>
  <si>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</si>
  <si>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</si>
  <si>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</si>
  <si>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</si>
  <si>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</si>
  <si>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</si>
  <si>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</si>
  <si>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</si>
  <si>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</si>
  <si>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</si>
  <si>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</si>
  <si>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</si>
  <si>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</si>
  <si>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</si>
  <si>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</si>
  <si>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</si>
  <si>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</si>
  <si>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</si>
  <si>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</si>
  <si>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</si>
  <si>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</si>
  <si>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</si>
  <si>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</si>
  <si>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</si>
  <si>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</si>
  <si>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</si>
  <si>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</si>
  <si>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</si>
  <si>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</si>
  <si>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</si>
  <si>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</si>
  <si>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</si>
  <si>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</si>
  <si>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</si>
  <si>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</si>
  <si>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</si>
  <si>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</si>
  <si>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</si>
  <si>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</si>
  <si>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</si>
  <si>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</si>
  <si>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</si>
  <si>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</si>
  <si>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</si>
  <si>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</si>
  <si>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</si>
  <si>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</si>
  <si>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</si>
  <si>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</si>
  <si>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</si>
  <si>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</si>
  <si>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</si>
  <si>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</si>
  <si>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</si>
  <si>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</si>
  <si>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</si>
  <si>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</si>
  <si>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</si>
  <si>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</si>
  <si>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</si>
  <si>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</si>
  <si>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</si>
  <si>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</si>
  <si>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</si>
  <si>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</si>
  <si>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</si>
  <si>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</si>
  <si>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</si>
  <si>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</si>
  <si>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</si>
  <si>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</si>
  <si>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</si>
  <si>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</si>
  <si>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</si>
  <si>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</si>
  <si>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</si>
  <si>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</si>
  <si>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</si>
  <si>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</si>
  <si>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</si>
  <si>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</si>
  <si>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</si>
  <si>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</si>
  <si>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</si>
  <si>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1st Quarter</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</si>
  <si>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</si>
  <si>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</si>
  <si>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</si>
  <si>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</si>
  <si>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</si>
  <si>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</si>
  <si>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</si>
  <si>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</si>
  <si>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</si>
  <si>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</si>
  <si>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</si>
  <si>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Trillium Health Resources</t>
  </si>
  <si>
    <t>Total
Population</t>
  </si>
  <si>
    <t>Uninsured Children (Ages 3-17)</t>
  </si>
  <si>
    <t>Uninsured NonElderly Adults (Ages 18-20)</t>
  </si>
  <si>
    <t>Uninsured NonElderly Adults (Ages 21-64)</t>
  </si>
  <si>
    <t>Total Uninsured NonElderly Population (Ages 3-64)</t>
  </si>
  <si>
    <t>Linked</t>
  </si>
  <si>
    <t>Children
UnInsured
(Ages 0-18)</t>
  </si>
  <si>
    <t>Adults
UnInsured
(Ages 18-64)</t>
  </si>
  <si>
    <t>NonElderly
UnInsured
(Ages 0-64)</t>
  </si>
  <si>
    <t>Number Of ED Admissions</t>
  </si>
  <si>
    <t>Number That Are Readmissions
≤ 30 Days</t>
  </si>
  <si>
    <t>Percent That Are Readmissions
≤ 30 Days</t>
  </si>
  <si>
    <t>Number Continuously Enrolled Persons That Received ≥1 MH/SA Service During The Measurement Period</t>
  </si>
  <si>
    <t>Percent Of Members Receiving MH/SA Services That Received An Ambulatory Or Preventive Care Visit</t>
  </si>
  <si>
    <t>Number Continuously Enrolled Persons That Received ≥1 IDD Service During The Measurement Period</t>
  </si>
  <si>
    <t>Percent Of Members Receiving IDD Services That Received An Ambulatory Or Preventive Care Visit</t>
  </si>
  <si>
    <t>MH/SA
Ages 3-17</t>
  </si>
  <si>
    <t>MH/SA
Ages 18-20</t>
  </si>
  <si>
    <t>MH/SA
Ages 21+</t>
  </si>
  <si>
    <t>MH/SA
Ages 18+</t>
  </si>
  <si>
    <t>MH/SA
Total (Ages 3+)</t>
  </si>
  <si>
    <t>IDD
Ages 3-17</t>
  </si>
  <si>
    <t>IDD
Ages 18-20</t>
  </si>
  <si>
    <t>IDD
Ages 21+</t>
  </si>
  <si>
    <t>IDD
Ages 18+</t>
  </si>
  <si>
    <t>IDD
Total (Ages 3+)</t>
  </si>
  <si>
    <t>MH/IDD/SA
Ages 3-17</t>
  </si>
  <si>
    <t>MH/IDD/SA
Ages 18-20</t>
  </si>
  <si>
    <t>MH/IDD/SA
Ages 21+</t>
  </si>
  <si>
    <t>MH/IDD/SA
Ages 18+</t>
  </si>
  <si>
    <t>MH/IDD/SA
Total (Ages 3+)</t>
  </si>
  <si>
    <t>ation (Medicaid Only)</t>
  </si>
  <si>
    <r>
      <t>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</si>
  <si>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Formula</t>
  </si>
  <si>
    <t>SFY2017 Non-Elderly Uninsured Population (Performance Measure Age Groups)</t>
  </si>
  <si>
    <t>July 2016 Population Estimate</t>
  </si>
  <si>
    <t>2014 Percent Uninsured</t>
  </si>
  <si>
    <t>July 2016 Estimated Uninsured Population</t>
  </si>
  <si>
    <r>
      <rPr>
        <b/>
        <sz val="11"/>
        <color theme="1"/>
        <rFont val="Arial"/>
        <family val="2"/>
        <scheme val="minor"/>
      </rPr>
      <t>Population Data Source:</t>
    </r>
    <r>
      <rPr>
        <sz val="10"/>
        <rFont val="Arial"/>
        <family val="2"/>
      </rPr>
      <t xml:space="preserve">  NC Office of State Budget and Management (OSBM) website.  http://www.osbm.state.nc.us/demog/countytotals_singleage_2016.html.  Last updated 10/8/15.  Downloaded 2/23/16.</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</si>
  <si>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2014. Produced by the U.S. Census Bureau/Small Area Health Insurance (SAHIE) Program/May 2016 (http://www.census.gov/did/www/sahie/data/20082014/index.html) Downloaded 6/23/16.</t>
    </r>
  </si>
  <si>
    <t>SFY2017 Estimate of Non-Elderly Uninsured Population By LME-MCO and County</t>
  </si>
  <si>
    <t>(Based on NC OSBM July 2016 Population Estimates at the beginning of the SFY 
and the most current US Census Bureau SAHIE 2014 Uninsured Estimates, published May 2016)</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</si>
  <si>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2014 percentages of non-elderly uninsured by county to the July 2016 population by county for each age group and total to calculate the estimated number of non-elderly uninsured by age group at the beginning of SFY2017.</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</si>
  <si>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http://www.osbm.state.nc.us/demog/countytotals_singleage_2016.html.  Last updated:  10/8/15    Downloaded: 2/23/16.</t>
    </r>
  </si>
  <si>
    <r>
      <t xml:space="preserve">● </t>
    </r>
    <r>
      <rPr>
        <b/>
        <sz val="10"/>
        <color theme="1"/>
        <rFont val="Arial"/>
        <family val="2"/>
        <scheme val="minor"/>
      </rPr>
      <t xml:space="preserve">NC County-Level Estimates of Non-Elderly Uninsured: </t>
    </r>
    <r>
      <rPr>
        <sz val="10"/>
        <color theme="1"/>
        <rFont val="Arial"/>
        <family val="2"/>
        <scheme val="minor"/>
      </rPr>
      <t xml:space="preserve"> Model-based Small Area Health Insurance Estimates (SAHIE) for Counties and States 2014. Produced by the U.S. Census Bureau/Small Area Health Insurance (SAHIE) Program / May 2016 (http://www.census.gov/did/www/sahie/data/20082014/index.html) Downloaded 6/23/16.</t>
    </r>
  </si>
  <si>
    <r>
      <rPr>
        <b/>
        <sz val="11"/>
        <color theme="1"/>
        <rFont val="Arial"/>
        <family val="2"/>
        <scheme val="minor"/>
      </rPr>
      <t xml:space="preserve">Urban vs. Rural Counties: </t>
    </r>
    <r>
      <rPr>
        <sz val="10"/>
        <rFont val="Arial"/>
        <family val="2"/>
      </rPr>
      <t xml:space="preserve"> The methodology for designating Urban and Rural counties changed October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t>
    </r>
  </si>
  <si>
    <t>Vaya Health</t>
  </si>
  <si>
    <t>SFY2018 Non-Elderly Uninsured Population (Performance Measure Age Groups)</t>
  </si>
  <si>
    <t>July 2017 Population Estimate</t>
  </si>
  <si>
    <t>2015 Percent Uninsured</t>
  </si>
  <si>
    <t>July 2017 Estimated Uninsured Population</t>
  </si>
  <si>
    <r>
      <rPr>
        <b/>
        <sz val="11"/>
        <color theme="1"/>
        <rFont val="Arial"/>
        <family val="2"/>
        <scheme val="minor"/>
      </rPr>
      <t>Population Data Source:</t>
    </r>
    <r>
      <rPr>
        <sz val="10"/>
        <rFont val="Arial"/>
        <family val="2"/>
      </rPr>
      <t xml:space="preserve">  NC Office of State Budget and Management (OSBM) website (https://ncosbm.s3.amazonaws.com/s3fs-public/demog/countytotals_singleage_2017.html).  Last updated 9/19/16.  Downloaded 4/17/17.</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</si>
  <si>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2015. Produced by the U.S. Census Bureau/Small Area Health Insurance (SAHIE) Program. Internet Release Date: 3/27/17. (https://www.census.gov/did/www/sahie/data/20082015/index.html). Downloaded 4/18/17.</t>
    </r>
  </si>
  <si>
    <t>SFY2018 Estimate of Non-Elderly Uninsured Population By LME-MCO and County</t>
  </si>
  <si>
    <t>(Based on NC OSBM July 2017 Population Estimates at the beginning of the SFY 
and the most current US Census Bureau SAHIE 2015 Uninsured Estimates, published March 2017)</t>
  </si>
  <si>
    <t>Uninsured NonElderly Adults (Ages 18-64)</t>
  </si>
  <si>
    <t>Total Uninsured NonElderly Population 
(Ages 3-64)</t>
  </si>
  <si>
    <t>Sum of Cols B+E</t>
  </si>
  <si>
    <t>Difference (Col H-F)</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</si>
  <si>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2015 percentages of non-elderly uninsured by county to the July 2017 population by county for each age group and total to calculate the estimated number of non-elderly uninsured by age group at the beginning of SFY2018.</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</si>
  <si>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(https://ncosbm.s3.amazonaws.com/s3fs-public/demog/countytotals_singleage_2017.html).  Last updated 9/19/16.  Downloaded 4/17/17. </t>
    </r>
  </si>
  <si>
    <r>
      <t xml:space="preserve">● </t>
    </r>
    <r>
      <rPr>
        <b/>
        <sz val="10"/>
        <color theme="1"/>
        <rFont val="Arial"/>
        <family val="2"/>
        <scheme val="minor"/>
      </rPr>
      <t xml:space="preserve">NC County-Level Estimates of Non-Elderly Uninsured:  </t>
    </r>
    <r>
      <rPr>
        <sz val="10"/>
        <color theme="1"/>
        <rFont val="Arial"/>
        <family val="2"/>
        <scheme val="minor"/>
      </rPr>
      <t xml:space="preserve">Model-based Small Area Health Insurance Estimates (SAHIE) for Counties and States 2015. Produced by the U.S. Census Bureau/Small Area Health Insurance (SAHIE) Program. Internet Release Date: 3/27/17. (https://www.census.gov/did/www/sahie/data/20082015/index.html). Downloaded 4/18/17. </t>
    </r>
  </si>
  <si>
    <t>2.1 Timely Emergent Care:  Appointments Kept</t>
  </si>
  <si>
    <t>LME-MCOs will provide data on calls to the LME-MCO's call center(s) requesting MH/DD/SA services that were in need of emergent care and the number that received a face-to-face service within 2 hours and 15 minutes of the request for care on a form provided by DMH/DD/SAS.  Form and instructions are published on the DMH/DD/SAS website: http://www.ncdhhs.gov/mhddsas/statspublications/Forms/index.htm.</t>
  </si>
  <si>
    <t>2.2 Timely Urgent Care:  Appointments Kept</t>
  </si>
  <si>
    <t>2.3 Timely Routine Care:  Appointments Kept</t>
  </si>
  <si>
    <t>LME-MCOs will provide data on calls to the LME-MCO's call center(s) requesting MH/DD/SA services that were in need of urgent care and the number that received a face-to-face service within 2 calendar days of the request for care on a form provided by DMH/DD/SAS.  Form and instructions are published on the DMH/DD/SAS website: http://www.ncdhhs.gov/mhddsas/statspublications/Forms/index.htm.</t>
  </si>
  <si>
    <t>SFY2019 Non-Elderly Uninsured Population (Performance Measure Age Groups)</t>
  </si>
  <si>
    <t>July 2018 Population Estimate</t>
  </si>
  <si>
    <t>2016 Percent Uninsured</t>
  </si>
  <si>
    <t>July 2018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</si>
  <si>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10/2/17.  Downloaded 3/22/18.</t>
    </r>
  </si>
  <si>
    <r>
      <t xml:space="preserve">NC County-Level Estimates of Non-Elderly Uninsured: </t>
    </r>
    <r>
      <rPr>
        <sz val="10"/>
        <rFont val="Arial"/>
        <family val="2"/>
      </rPr>
      <t xml:space="preserve"> Model-based Small Area Health Insurance Estimates (SAHIE) for Counties and States 2016. Produced by the U.S. Census Bureau/Small Area Health Insurance (SAHIE) Program. Internet Release Date: 3/6/18. (https://www.census.gov/data/datasets/time-series/demo/sahie/estimates-acs.html). Downloaded 6/5/18.</t>
    </r>
  </si>
  <si>
    <t>SFY2019 Estimate of Non-Elderly Uninsured Population By LME-MCO and County</t>
  </si>
  <si>
    <t>(Based on NC OSBM July 2018 Population Estimates at the beginning of the SFY 
and the most current US Census Bureau SAHIE 2016 Uninsured Estimates, published March 2018)</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</si>
  <si>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2016 percentages of non-elderly uninsured by county to the July 2018 population by county for each age group and total to calculate the estimated number of non-elderly uninsured by age group at the beginning of SFY2019.</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</si>
  <si>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10/2/17.  Downloaded 3/22/18.</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</si>
  <si>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2016. Produced by the U.S. Census Bureau/Small Area Health Insurance (SAHIE) Program. Internet Release Date: 3/6/18. (https://www.census.gov/data/datasets/time-series/demo/sahie/estimates-acs.html). Downloaded 6/5/18.</t>
    </r>
  </si>
  <si>
    <t>2.1. Emergent     2.2. Urgent     2.3. Routine</t>
  </si>
  <si>
    <t>SFY2020 Non-Elderly Uninsured Population (Performance Measure Age Groups)</t>
  </si>
  <si>
    <t>July 2019 Population Estimate</t>
  </si>
  <si>
    <t>2017 Percent Uninsured</t>
  </si>
  <si>
    <t>July 2019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</si>
  <si>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12/5/18.  Downloaded 1/9/19.</t>
    </r>
  </si>
  <si>
    <r>
      <rPr>
        <b/>
        <sz val="11"/>
        <color theme="1"/>
        <rFont val="Arial"/>
        <family val="2"/>
        <scheme val="minor"/>
      </rPr>
      <t xml:space="preserve">NC County-Level Estimates of Non-Elderly Uninsured: </t>
    </r>
    <r>
      <rPr>
        <sz val="10"/>
        <rFont val="Arial"/>
        <family val="2"/>
      </rPr>
      <t xml:space="preserve"> Model-based Small Area Health Insurance Estimates (SAHIE) for Counties and States 2017. Produced by the U.S. Census Bureau/Small Area Health Insurance (SAHIE) Program. Internet Release Date: 3/20/19. (https://www.census.gov/data/datasets/time-series/demo/sahie/estimates-acs.html). Downloaded 5/30/19.</t>
    </r>
  </si>
  <si>
    <t>SFY2020 Estimate of Non-Elderly Uninsured Population By LME-MCO and County</t>
  </si>
  <si>
    <t>(Based on NC OSBM July 2019 Population Estimates at the beginning of the SFY 
and the most current US Census Bureau SAHIE 2017 Uninsured Estimates, published March 2019)</t>
  </si>
  <si>
    <t>Alliance Health</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</si>
  <si>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2017 percentages of non-elderly uninsured by county to the July 2019 population by county for each age group and total to calculate the estimated number of non-elderly uninsured by age group at the beginning of SFY2020.</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</si>
  <si>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12/5/18.  Downloaded 1/9/19.</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</si>
  <si>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2017. Produced by the U.S. Census Bureau/Small Area Health Insurance (SAHIE) Program. Internet Release Date: 3/20/19. (https://www.census.gov/data/datasets/time-series/demo/sahie/estimates-acs.html). Downloaded 5/30/19.</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</si>
  <si>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September 2018 delineations, https://www.census.gov/geographies/reference-files/time-series/demo/metro-micro/delineation-files.html, Internet Release Date: October 2018, Downloaded 5/31/19.</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</si>
  <si>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[Still the most recently published delineation as of 9/20/17]</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</si>
  <si>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August 2017 delineations, https://www.census.gov/geographies/reference-files/time-series/demo/metro-micro/delineation-files.html, Internet Release Date: January 2018, Downloaded 6/5/18.</t>
    </r>
  </si>
  <si>
    <t>See Note</t>
  </si>
  <si>
    <t>Enter data in columns G:H</t>
  </si>
  <si>
    <t>SFY2021 Non-Elderly Uninsured Population (Performance Measure Age Groups)</t>
  </si>
  <si>
    <t>SFY2021 Estimate of Non-Elderly Uninsured Population By LME-MCO and County</t>
  </si>
  <si>
    <t>(Based on NC OSBM July 2020 Population Estimates at the beginning of the SFY 
and the most current US Census Bureau SAHIE 2018 Uninsured Estimates, published April 2020)</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</si>
  <si>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2018 percentages of non-elderly uninsured by county to the July 2020 population by county for each age group and total to calculate the estimated number of non-elderly uninsured by age group at the beginning of SFY2021.</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</si>
  <si>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11/15/19.  Downloaded 3/31/20.</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</si>
  <si>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2018. Produced by the U.S. Census Bureau/Small Area Health Insurance (SAHIE) Program. Internet Release Date: 4/7/20. (https://www.census.gov/data/datasets/time-series/demo/sahie/estimates-acs.html). Downloaded 6/1/20.</t>
    </r>
  </si>
  <si>
    <r>
      <rPr>
        <b/>
        <sz val="11"/>
        <color theme="1"/>
        <rFont val="Arial"/>
        <family val="2"/>
        <scheme val="minor"/>
      </rPr>
      <t>Population Data Source</t>
    </r>
    <r>
      <rPr>
        <sz val="11"/>
        <color theme="1"/>
        <rFont val="Arial"/>
        <family val="2"/>
        <scheme val="minor"/>
      </rPr>
      <t>:  NC Office of State Budget and Management (OSBM) website (https://www.osbm.nc.gov/demog/county-projections).  Last updated 11/15/19.  Downloaded 3/31/20.</t>
    </r>
  </si>
  <si>
    <r>
      <rPr>
        <b/>
        <sz val="11"/>
        <color theme="1"/>
        <rFont val="Arial"/>
        <family val="2"/>
        <scheme val="minor"/>
      </rPr>
      <t>NC County-Level Estimates of Non-Elderly Uninsured</t>
    </r>
    <r>
      <rPr>
        <sz val="11"/>
        <color theme="1"/>
        <rFont val="Arial"/>
        <family val="2"/>
        <scheme val="minor"/>
      </rPr>
      <t>:  Model-based Small Area Health Insurance Estimates (SAHIE) for Counties and States 2018. Produced by the U.S. Census Bureau/Small Area Health Insurance (SAHIE) Program. Internet Release Date: 4/7/20. (https://www.census.gov/data/datasets/time-series/demo/sahie/estimates-acs.html). Downloaded 6/1/20.</t>
    </r>
  </si>
  <si>
    <r>
      <rPr>
        <b/>
        <sz val="11"/>
        <color theme="1"/>
        <rFont val="Arial"/>
        <family val="2"/>
        <scheme val="minor"/>
      </rPr>
      <t>Urban vs. Rural Counties</t>
    </r>
    <r>
      <rPr>
        <sz val="11"/>
        <color theme="1"/>
        <rFont val="Arial"/>
        <family val="2"/>
        <scheme val="minor"/>
      </rPr>
      <t>: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March 2020 delineations, https://www.census.gov/geographies/reference-files/time-series/demo/metro-micro/delineation-files.html, Internet Release Date: April 2020, Downloaded 6/1/20.</t>
    </r>
  </si>
  <si>
    <t>July 2020 Population Estimate</t>
  </si>
  <si>
    <t>2018 Percent Uninsured</t>
  </si>
  <si>
    <t>July 2020 Estimated Uninsured Population</t>
  </si>
  <si>
    <t>Cardinal Innovations Healthcare</t>
  </si>
  <si>
    <t>Partners Health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</si>
</sst>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409]mmmm\ d\,\ yyyy;@"/>
    <numFmt numFmtId="165" formatCode="0.0%"/>
    <numFmt numFmtId="166" formatCode="#,##0.0"/>
    <numFmt numFmtId="167" formatCode="_(* #,##0_);_(* \(#,##0\);_(* &quot;-&quot;??_);_(@_)"/>
  </numFmts>
  <fonts count="6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theme="3" tint="-0.249977111117893"/>
      <name val="Arial"/>
      <family val="2"/>
      <scheme val="minor"/>
    </font>
    <font>
      <sz val="10"/>
      <name val="Arial"/>
      <family val="2"/>
    </font>
    <font>
      <b/>
      <sz val="14"/>
      <name val="Arial"/>
      <family val="2"/>
    </font>
    <font>
      <sz val="10"/>
      <color theme="1"/>
      <name val="Arial"/>
      <family val="2"/>
      <scheme val="minor"/>
    </font>
    <font>
      <sz val="11"/>
      <color theme="3"/>
      <name val="Arial"/>
      <family val="2"/>
      <scheme val="minor"/>
    </font>
    <font>
      <b/>
      <sz val="10"/>
      <color theme="1"/>
      <name val="Arial"/>
      <family val="2"/>
      <scheme val="minor"/>
    </font>
    <font>
      <sz val="11"/>
      <color theme="9" tint="-0.249977111117893"/>
      <name val="Arial"/>
      <family val="2"/>
      <scheme val="minor"/>
    </font>
    <font>
      <sz val="11"/>
      <color indexed="81"/>
      <name val="Arial"/>
      <family val="2"/>
      <scheme val="major"/>
    </font>
    <font>
      <b/>
      <sz val="11"/>
      <color indexed="81"/>
      <name val="Arial"/>
      <family val="2"/>
      <scheme val="major"/>
    </font>
    <font>
      <b/>
      <sz val="10"/>
      <color theme="3"/>
      <name val="Arial"/>
      <family val="2"/>
    </font>
    <font>
      <sz val="10"/>
      <color theme="3"/>
      <name val="Arial"/>
      <family val="2"/>
    </font>
    <font>
      <sz val="11"/>
      <name val="Arial"/>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5" tint="0.59999389629810485"/>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right/>
      <top style="thin">
        <color theme="8" tint="0.39991454817346722"/>
      </top>
      <bottom style="thin">
        <color theme="8" tint="0.39994506668294322"/>
      </bottom>
      <diagonal/>
    </border>
    <border>
      <left/>
      <right/>
      <top/>
      <bottom style="thin">
        <color theme="8" tint="0.59996337778862885"/>
      </bottom>
      <diagonal/>
    </border>
    <border>
      <left/>
      <right/>
      <top style="thin">
        <color theme="8" tint="0.59996337778862885"/>
      </top>
      <bottom style="thin">
        <color theme="8" tint="0.59996337778862885"/>
      </bottom>
      <diagonal/>
    </border>
    <border>
      <left/>
      <right/>
      <top/>
      <bottom style="thin">
        <color theme="8" tint="0.39991454817346722"/>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0" fontId="13" fillId="0" borderId="0"/>
    <xf numFmtId="9" fontId="10" fillId="0" borderId="0" applyFont="0" applyFill="0" applyBorder="0" applyAlignment="0" applyProtection="0"/>
    <xf numFmtId="0" fontId="9" fillId="0" borderId="0"/>
    <xf numFmtId="9" fontId="10"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10" fillId="0" borderId="0"/>
    <xf numFmtId="0" fontId="8" fillId="0" borderId="0"/>
    <xf numFmtId="0" fontId="7" fillId="0" borderId="0"/>
    <xf numFmtId="0" fontId="49" fillId="0" borderId="0"/>
    <xf numFmtId="0" fontId="10" fillId="0" borderId="0"/>
    <xf numFmtId="0" fontId="10" fillId="0" borderId="0"/>
    <xf numFmtId="0" fontId="10" fillId="0" borderId="0"/>
    <xf numFmtId="0" fontId="4" fillId="0" borderId="0"/>
  </cellStyleXfs>
  <cellXfs count="451">
    <xf numFmtId="0" fontId="0" fillId="0" borderId="0" xfId="0"/>
    <xf numFmtId="0" fontId="9" fillId="0" borderId="0" xfId="3" applyAlignment="1">
      <alignment vertical="center"/>
    </xf>
    <xf numFmtId="49" fontId="15" fillId="2" borderId="0" xfId="0" applyNumberFormat="1" applyFont="1" applyFill="1" applyBorder="1" applyAlignment="1">
      <alignment vertical="center"/>
    </xf>
    <xf numFmtId="49" fontId="15" fillId="2" borderId="0" xfId="0" applyNumberFormat="1" applyFont="1" applyFill="1" applyBorder="1" applyAlignment="1">
      <alignment vertical="center" wrapText="1"/>
    </xf>
    <xf numFmtId="49" fontId="15" fillId="2" borderId="0"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xf>
    <xf numFmtId="49" fontId="16" fillId="0" borderId="0" xfId="0" applyNumberFormat="1" applyFont="1" applyAlignment="1">
      <alignment vertical="center"/>
    </xf>
    <xf numFmtId="49" fontId="15" fillId="2" borderId="0" xfId="0" applyNumberFormat="1" applyFont="1" applyFill="1" applyBorder="1" applyAlignment="1">
      <alignment horizontal="center" vertical="center"/>
    </xf>
    <xf numFmtId="49" fontId="18" fillId="2" borderId="0"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xf>
    <xf numFmtId="49" fontId="16" fillId="2" borderId="0" xfId="0" applyNumberFormat="1" applyFont="1" applyFill="1" applyBorder="1" applyAlignment="1">
      <alignment vertical="center"/>
    </xf>
    <xf numFmtId="49" fontId="19" fillId="0" borderId="0" xfId="0" applyNumberFormat="1" applyFont="1" applyAlignment="1">
      <alignment vertical="center"/>
    </xf>
    <xf numFmtId="49" fontId="20" fillId="2" borderId="0" xfId="0" applyNumberFormat="1" applyFont="1" applyFill="1" applyAlignment="1">
      <alignment vertical="center"/>
    </xf>
    <xf numFmtId="49" fontId="19" fillId="2" borderId="0" xfId="0" applyNumberFormat="1" applyFont="1" applyFill="1" applyAlignment="1">
      <alignment vertical="center"/>
    </xf>
    <xf numFmtId="49" fontId="17"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Continuous" vertical="center"/>
    </xf>
    <xf numFmtId="49" fontId="16" fillId="0" borderId="0" xfId="0" applyNumberFormat="1" applyFont="1" applyBorder="1" applyAlignment="1">
      <alignment horizontal="centerContinuous" vertical="center"/>
    </xf>
    <xf numFmtId="49" fontId="16" fillId="0" borderId="0" xfId="0" applyNumberFormat="1" applyFont="1" applyAlignment="1">
      <alignment horizontal="centerContinuous" vertical="center"/>
    </xf>
    <xf numFmtId="49" fontId="21" fillId="2" borderId="0" xfId="0" applyNumberFormat="1" applyFont="1" applyFill="1" applyBorder="1" applyAlignment="1">
      <alignment horizontal="centerContinuous" vertical="top"/>
    </xf>
    <xf numFmtId="49" fontId="21" fillId="0" borderId="0" xfId="0" applyNumberFormat="1" applyFont="1" applyAlignment="1">
      <alignment horizontal="right" vertical="center"/>
    </xf>
    <xf numFmtId="0" fontId="22" fillId="0" borderId="0" xfId="0" applyNumberFormat="1" applyFont="1" applyAlignment="1">
      <alignment horizontal="right" vertical="center"/>
    </xf>
    <xf numFmtId="0" fontId="23" fillId="2" borderId="0" xfId="0" applyNumberFormat="1" applyFont="1" applyFill="1" applyBorder="1" applyAlignment="1">
      <alignment horizontal="left" vertical="center" indent="1"/>
    </xf>
    <xf numFmtId="0" fontId="0" fillId="0" borderId="0" xfId="0" applyAlignment="1">
      <alignment vertical="center"/>
    </xf>
    <xf numFmtId="0" fontId="24" fillId="0" borderId="0" xfId="3" applyFont="1" applyAlignment="1">
      <alignment vertical="center"/>
    </xf>
    <xf numFmtId="49" fontId="15" fillId="2" borderId="0" xfId="0" applyNumberFormat="1" applyFont="1" applyFill="1" applyBorder="1" applyAlignment="1">
      <alignment horizontal="right" vertical="center"/>
    </xf>
    <xf numFmtId="49" fontId="18" fillId="2" borderId="0" xfId="0" applyNumberFormat="1" applyFont="1" applyFill="1" applyBorder="1" applyAlignment="1">
      <alignment horizontal="centerContinuous" vertical="center"/>
    </xf>
    <xf numFmtId="49" fontId="18" fillId="2" borderId="0" xfId="0" applyNumberFormat="1" applyFont="1" applyFill="1" applyBorder="1" applyAlignment="1">
      <alignment horizontal="centerContinuous" vertical="center" wrapText="1"/>
    </xf>
    <xf numFmtId="49" fontId="16" fillId="2" borderId="0" xfId="0" applyNumberFormat="1" applyFont="1" applyFill="1" applyBorder="1" applyAlignment="1">
      <alignment horizontal="centerContinuous" vertical="center"/>
    </xf>
    <xf numFmtId="49" fontId="21" fillId="2" borderId="0" xfId="0" applyNumberFormat="1" applyFont="1" applyFill="1" applyBorder="1" applyAlignment="1">
      <alignment horizontal="centerContinuous"/>
    </xf>
    <xf numFmtId="49" fontId="16" fillId="0" borderId="0" xfId="0" applyNumberFormat="1" applyFont="1" applyFill="1" applyBorder="1" applyAlignment="1">
      <alignment horizontal="centerContinuous" vertical="center"/>
    </xf>
    <xf numFmtId="0" fontId="14" fillId="0" borderId="0" xfId="0" applyFont="1" applyAlignment="1">
      <alignment vertical="center"/>
    </xf>
    <xf numFmtId="0" fontId="14" fillId="0" borderId="0" xfId="0" applyFont="1" applyFill="1" applyAlignment="1">
      <alignment vertical="center"/>
    </xf>
    <xf numFmtId="0" fontId="0" fillId="0" borderId="0" xfId="0" applyFill="1" applyAlignment="1">
      <alignment vertical="center"/>
    </xf>
    <xf numFmtId="0" fontId="14" fillId="0" borderId="0" xfId="0" applyFont="1" applyAlignment="1" applyProtection="1">
      <alignment vertical="center"/>
      <protection locked="0"/>
    </xf>
    <xf numFmtId="0" fontId="13" fillId="0" borderId="0" xfId="0" applyFont="1" applyAlignment="1">
      <alignment vertical="center"/>
    </xf>
    <xf numFmtId="49" fontId="25" fillId="2" borderId="0" xfId="0" applyNumberFormat="1" applyFont="1" applyFill="1" applyBorder="1" applyAlignment="1">
      <alignment horizontal="left" vertical="center"/>
    </xf>
    <xf numFmtId="0" fontId="13"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6" fillId="0" borderId="0" xfId="0" applyFont="1" applyAlignment="1">
      <alignment vertical="center"/>
    </xf>
    <xf numFmtId="3"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2" fillId="0" borderId="1" xfId="0" applyNumberFormat="1" applyFont="1" applyBorder="1" applyAlignment="1" applyProtection="1">
      <alignment horizontal="center" vertical="center"/>
    </xf>
    <xf numFmtId="0" fontId="0" fillId="0" borderId="0" xfId="0" applyAlignment="1">
      <alignment vertical="center" wrapText="1"/>
    </xf>
    <xf numFmtId="0" fontId="10" fillId="0" borderId="1" xfId="0" applyFont="1" applyBorder="1" applyAlignment="1">
      <alignment horizontal="center" vertical="center"/>
    </xf>
    <xf numFmtId="0" fontId="14" fillId="0" borderId="0" xfId="0" applyFont="1" applyAlignment="1">
      <alignment horizontal="centerContinuous" vertical="center"/>
    </xf>
    <xf numFmtId="3" fontId="12" fillId="0" borderId="2" xfId="0" applyNumberFormat="1" applyFont="1" applyBorder="1" applyAlignment="1" applyProtection="1">
      <alignment horizontal="center" vertical="center"/>
      <protection locked="0"/>
    </xf>
    <xf numFmtId="10" fontId="12" fillId="0" borderId="12" xfId="2" applyNumberFormat="1" applyFont="1" applyBorder="1" applyAlignment="1" applyProtection="1">
      <alignment horizontal="center" vertical="center"/>
    </xf>
    <xf numFmtId="0" fontId="10" fillId="0" borderId="0" xfId="0" applyFont="1" applyAlignment="1">
      <alignment vertical="center"/>
    </xf>
    <xf numFmtId="0" fontId="10" fillId="0" borderId="0" xfId="0" applyFont="1" applyAlignment="1" applyProtection="1">
      <alignment vertical="center"/>
      <protection locked="0"/>
    </xf>
    <xf numFmtId="1" fontId="10" fillId="0" borderId="0" xfId="0" applyNumberFormat="1" applyFont="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Alignment="1">
      <alignment horizontal="right" vertical="center"/>
    </xf>
    <xf numFmtId="0" fontId="24" fillId="0" borderId="0" xfId="0" applyFont="1" applyAlignment="1">
      <alignment vertical="center"/>
    </xf>
    <xf numFmtId="3" fontId="12" fillId="0" borderId="15" xfId="0" applyNumberFormat="1" applyFont="1" applyBorder="1" applyAlignment="1" applyProtection="1">
      <alignment horizontal="center" vertical="center" wrapText="1"/>
      <protection locked="0"/>
    </xf>
    <xf numFmtId="3" fontId="12" fillId="0" borderId="15" xfId="0" applyNumberFormat="1" applyFont="1" applyBorder="1" applyAlignment="1" applyProtection="1">
      <alignment horizontal="center" vertical="center" wrapText="1"/>
    </xf>
    <xf numFmtId="0" fontId="14" fillId="3" borderId="22" xfId="0" applyFont="1" applyFill="1" applyBorder="1" applyAlignment="1">
      <alignment horizontal="centerContinuous" vertical="center"/>
    </xf>
    <xf numFmtId="0" fontId="13" fillId="3" borderId="23" xfId="0" applyFont="1" applyFill="1" applyBorder="1" applyAlignment="1">
      <alignment horizontal="centerContinuous" vertical="center"/>
    </xf>
    <xf numFmtId="0" fontId="13" fillId="3" borderId="24" xfId="0" applyFont="1" applyFill="1" applyBorder="1" applyAlignment="1">
      <alignment horizontal="centerContinuous" vertical="center"/>
    </xf>
    <xf numFmtId="0" fontId="14" fillId="3" borderId="6"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3" fontId="12" fillId="0" borderId="9" xfId="0" applyNumberFormat="1" applyFont="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xf>
    <xf numFmtId="3" fontId="12" fillId="0" borderId="19" xfId="0" applyNumberFormat="1" applyFont="1" applyBorder="1" applyAlignment="1">
      <alignment horizontal="center" vertical="center"/>
    </xf>
    <xf numFmtId="3" fontId="12" fillId="0" borderId="11" xfId="0" applyNumberFormat="1" applyFont="1" applyBorder="1" applyAlignment="1">
      <alignment horizontal="center" vertical="center"/>
    </xf>
    <xf numFmtId="10" fontId="12" fillId="0" borderId="12" xfId="0" applyNumberFormat="1" applyFont="1" applyFill="1" applyBorder="1" applyAlignment="1" applyProtection="1">
      <alignment horizontal="center" vertical="center"/>
    </xf>
    <xf numFmtId="3" fontId="12" fillId="0" borderId="9" xfId="0" applyNumberFormat="1" applyFont="1" applyBorder="1" applyAlignment="1" applyProtection="1">
      <alignment horizontal="center" vertical="center" wrapText="1"/>
    </xf>
    <xf numFmtId="0" fontId="14" fillId="3" borderId="26" xfId="0" applyFont="1" applyFill="1" applyBorder="1" applyAlignment="1" applyProtection="1">
      <alignment horizontal="center" vertical="center"/>
    </xf>
    <xf numFmtId="0" fontId="10" fillId="0" borderId="20" xfId="0" applyNumberFormat="1" applyFont="1" applyBorder="1" applyAlignment="1" applyProtection="1">
      <alignment horizontal="center" vertical="center"/>
    </xf>
    <xf numFmtId="0" fontId="13" fillId="0" borderId="20" xfId="0" applyNumberFormat="1" applyFont="1" applyBorder="1" applyAlignment="1" applyProtection="1">
      <alignment horizontal="center" vertical="center"/>
    </xf>
    <xf numFmtId="0" fontId="14" fillId="0" borderId="21" xfId="0" applyFont="1" applyBorder="1" applyAlignment="1">
      <alignment horizontal="center" vertical="center"/>
    </xf>
    <xf numFmtId="1" fontId="24" fillId="0" borderId="0" xfId="0" applyNumberFormat="1" applyFont="1" applyFill="1" applyAlignment="1">
      <alignment vertical="center"/>
    </xf>
    <xf numFmtId="0" fontId="27" fillId="0" borderId="0" xfId="0" applyFont="1" applyAlignment="1">
      <alignment horizontal="right" vertical="center"/>
    </xf>
    <xf numFmtId="0" fontId="14" fillId="3" borderId="23" xfId="0" applyFont="1" applyFill="1" applyBorder="1" applyAlignment="1">
      <alignment horizontal="centerContinuous" vertical="center"/>
    </xf>
    <xf numFmtId="0" fontId="14" fillId="3" borderId="30" xfId="0" applyFont="1" applyFill="1" applyBorder="1" applyAlignment="1" applyProtection="1">
      <alignment horizontal="center" vertical="center" wrapText="1"/>
    </xf>
    <xf numFmtId="10" fontId="12" fillId="0" borderId="5" xfId="2" applyNumberFormat="1" applyFont="1" applyBorder="1" applyAlignment="1" applyProtection="1">
      <alignment horizontal="center" vertical="center" wrapText="1"/>
    </xf>
    <xf numFmtId="0" fontId="30" fillId="0" borderId="0" xfId="0" applyFont="1" applyAlignment="1">
      <alignment horizontal="centerContinuous"/>
    </xf>
    <xf numFmtId="0" fontId="0" fillId="0" borderId="0" xfId="0" applyAlignment="1">
      <alignment horizontal="centerContinuous"/>
    </xf>
    <xf numFmtId="0" fontId="30" fillId="0" borderId="0" xfId="0" applyFont="1" applyAlignment="1"/>
    <xf numFmtId="0" fontId="0" fillId="0" borderId="0" xfId="0" applyAlignment="1"/>
    <xf numFmtId="3" fontId="31" fillId="0" borderId="0" xfId="0" applyNumberFormat="1" applyFont="1" applyAlignment="1">
      <alignment horizontal="right" vertical="center"/>
    </xf>
    <xf numFmtId="0" fontId="31" fillId="0" borderId="0" xfId="0" applyFont="1" applyAlignment="1">
      <alignment horizontal="left" vertical="center" indent="1"/>
    </xf>
    <xf numFmtId="0" fontId="10" fillId="0" borderId="8" xfId="0" applyFont="1" applyFill="1" applyBorder="1" applyAlignment="1">
      <alignment vertical="center"/>
    </xf>
    <xf numFmtId="0" fontId="0" fillId="0" borderId="0" xfId="0" applyAlignment="1">
      <alignment horizontal="left" vertical="center" indent="1"/>
    </xf>
    <xf numFmtId="0" fontId="10" fillId="0" borderId="32" xfId="0" applyFont="1" applyFill="1" applyBorder="1" applyAlignment="1">
      <alignment horizontal="center" vertical="center"/>
    </xf>
    <xf numFmtId="0" fontId="14"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4"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3" xfId="0" applyNumberFormat="1" applyBorder="1" applyAlignment="1">
      <alignment horizontal="center" vertical="center"/>
    </xf>
    <xf numFmtId="0" fontId="14" fillId="4" borderId="15"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4"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7" xfId="0" applyBorder="1" applyAlignment="1">
      <alignment vertical="center"/>
    </xf>
    <xf numFmtId="49" fontId="0" fillId="0" borderId="27" xfId="0" applyNumberFormat="1" applyBorder="1" applyAlignment="1">
      <alignment horizontal="center" vertical="center"/>
    </xf>
    <xf numFmtId="49" fontId="0" fillId="0" borderId="27" xfId="0" applyNumberFormat="1" applyFill="1" applyBorder="1" applyAlignment="1">
      <alignment horizontal="center" vertical="center"/>
    </xf>
    <xf numFmtId="0" fontId="0" fillId="5" borderId="7" xfId="0" applyFill="1" applyBorder="1" applyAlignment="1">
      <alignment horizontal="center" vertical="center"/>
    </xf>
    <xf numFmtId="0" fontId="0" fillId="0" borderId="29" xfId="0" applyBorder="1" applyAlignment="1">
      <alignment horizontal="left" vertical="center" indent="2"/>
    </xf>
    <xf numFmtId="0" fontId="0" fillId="0" borderId="33"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4" fillId="0" borderId="29" xfId="0" applyFont="1" applyBorder="1" applyAlignment="1">
      <alignment horizontal="left" vertical="center"/>
    </xf>
    <xf numFmtId="0" fontId="10" fillId="0" borderId="7" xfId="0" applyFont="1" applyBorder="1" applyAlignment="1">
      <alignment horizontal="left" vertical="center" indent="2"/>
    </xf>
    <xf numFmtId="0" fontId="0" fillId="0" borderId="14" xfId="0" applyBorder="1" applyAlignment="1">
      <alignment vertical="center"/>
    </xf>
    <xf numFmtId="0" fontId="0" fillId="0" borderId="29" xfId="0" applyBorder="1" applyAlignment="1">
      <alignment horizontal="center" vertical="center"/>
    </xf>
    <xf numFmtId="0" fontId="14" fillId="0" borderId="29" xfId="0" applyFont="1" applyBorder="1" applyAlignment="1">
      <alignment vertical="center"/>
    </xf>
    <xf numFmtId="0" fontId="0" fillId="0" borderId="34" xfId="0" applyBorder="1" applyAlignment="1">
      <alignment horizontal="center" vertical="center"/>
    </xf>
    <xf numFmtId="0" fontId="10" fillId="0" borderId="29" xfId="0" applyFont="1" applyBorder="1" applyAlignment="1">
      <alignment horizontal="left" indent="2"/>
    </xf>
    <xf numFmtId="0" fontId="0" fillId="0" borderId="29" xfId="0" applyBorder="1" applyAlignment="1">
      <alignment horizontal="center"/>
    </xf>
    <xf numFmtId="0" fontId="10"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4" xfId="0" applyBorder="1"/>
    <xf numFmtId="0" fontId="14" fillId="0" borderId="29" xfId="0" applyFont="1" applyBorder="1"/>
    <xf numFmtId="49" fontId="10" fillId="0" borderId="27" xfId="0" applyNumberFormat="1" applyFont="1" applyBorder="1" applyAlignment="1">
      <alignment horizontal="center" vertical="center"/>
    </xf>
    <xf numFmtId="0" fontId="0" fillId="7" borderId="29" xfId="0" applyFill="1" applyBorder="1" applyAlignment="1">
      <alignment horizontal="center" vertical="center"/>
    </xf>
    <xf numFmtId="0" fontId="10" fillId="0" borderId="27" xfId="0" applyFont="1" applyBorder="1" applyAlignment="1">
      <alignment horizontal="left" indent="2"/>
    </xf>
    <xf numFmtId="0" fontId="0" fillId="0" borderId="27" xfId="0" applyBorder="1"/>
    <xf numFmtId="0" fontId="0" fillId="0" borderId="28" xfId="0" applyFill="1" applyBorder="1" applyAlignment="1">
      <alignment horizontal="center" vertical="center"/>
    </xf>
    <xf numFmtId="0" fontId="0" fillId="0" borderId="29" xfId="0" applyFill="1" applyBorder="1" applyAlignment="1">
      <alignment horizontal="center"/>
    </xf>
    <xf numFmtId="0" fontId="0" fillId="0" borderId="7" xfId="0" applyBorder="1"/>
    <xf numFmtId="0" fontId="10" fillId="0" borderId="14" xfId="0" applyFont="1" applyBorder="1" applyAlignment="1">
      <alignment horizontal="left" indent="2"/>
    </xf>
    <xf numFmtId="49" fontId="0" fillId="0" borderId="14" xfId="0" applyNumberFormat="1" applyBorder="1" applyAlignment="1">
      <alignment horizontal="center" vertical="center"/>
    </xf>
    <xf numFmtId="0" fontId="0" fillId="8" borderId="29" xfId="0" applyFill="1" applyBorder="1" applyAlignment="1">
      <alignment horizontal="center" vertical="center"/>
    </xf>
    <xf numFmtId="0" fontId="0" fillId="0" borderId="14" xfId="0" applyBorder="1" applyAlignment="1">
      <alignment horizontal="left" indent="2"/>
    </xf>
    <xf numFmtId="0" fontId="10" fillId="0" borderId="13" xfId="0" applyFont="1" applyFill="1" applyBorder="1" applyAlignment="1">
      <alignment horizontal="left"/>
    </xf>
    <xf numFmtId="1" fontId="0" fillId="0" borderId="0" xfId="0" applyNumberFormat="1" applyFill="1" applyAlignment="1">
      <alignment horizontal="left" vertical="center"/>
    </xf>
    <xf numFmtId="1" fontId="33" fillId="0" borderId="0" xfId="0" applyNumberFormat="1" applyFont="1" applyAlignment="1" applyProtection="1">
      <alignment horizontal="center" vertical="center"/>
    </xf>
    <xf numFmtId="0" fontId="9" fillId="0" borderId="0" xfId="3" applyAlignment="1">
      <alignment horizontal="center" vertical="center"/>
    </xf>
    <xf numFmtId="0" fontId="14" fillId="3" borderId="38" xfId="0" applyFont="1" applyFill="1" applyBorder="1" applyAlignment="1" applyProtection="1">
      <alignment horizontal="center" vertical="center" wrapText="1"/>
    </xf>
    <xf numFmtId="3" fontId="12" fillId="0" borderId="10" xfId="0" applyNumberFormat="1" applyFont="1" applyBorder="1" applyAlignment="1" applyProtection="1">
      <alignment horizontal="center" vertical="center" wrapText="1"/>
      <protection locked="0"/>
    </xf>
    <xf numFmtId="3" fontId="12" fillId="0" borderId="41" xfId="0" applyNumberFormat="1" applyFont="1" applyBorder="1" applyAlignment="1">
      <alignment horizontal="center" vertical="center"/>
    </xf>
    <xf numFmtId="3" fontId="12" fillId="0" borderId="1"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14" fillId="3" borderId="40" xfId="0" applyFont="1" applyFill="1" applyBorder="1" applyAlignment="1">
      <alignment horizontal="center" vertical="center"/>
    </xf>
    <xf numFmtId="0" fontId="0" fillId="3" borderId="23" xfId="0" applyFill="1" applyBorder="1" applyAlignment="1">
      <alignment horizontal="centerContinuous" vertical="center"/>
    </xf>
    <xf numFmtId="0" fontId="0" fillId="3" borderId="24" xfId="0" applyFill="1" applyBorder="1" applyAlignment="1">
      <alignment horizontal="centerContinuous" vertical="center"/>
    </xf>
    <xf numFmtId="0" fontId="14" fillId="3" borderId="39" xfId="0" applyFont="1" applyFill="1" applyBorder="1" applyAlignment="1">
      <alignment horizontal="center" vertical="center"/>
    </xf>
    <xf numFmtId="0" fontId="14" fillId="10" borderId="22" xfId="0" applyFont="1" applyFill="1" applyBorder="1" applyAlignment="1">
      <alignment horizontal="centerContinuous" vertical="center"/>
    </xf>
    <xf numFmtId="0" fontId="0" fillId="10" borderId="23" xfId="0" applyFill="1" applyBorder="1" applyAlignment="1">
      <alignment horizontal="centerContinuous" vertical="center"/>
    </xf>
    <xf numFmtId="0" fontId="0" fillId="10" borderId="24" xfId="0" applyFill="1" applyBorder="1" applyAlignment="1">
      <alignment horizontal="centerContinuous" vertical="center"/>
    </xf>
    <xf numFmtId="0" fontId="13" fillId="10" borderId="23" xfId="0" applyFont="1" applyFill="1" applyBorder="1" applyAlignment="1">
      <alignment horizontal="centerContinuous" vertical="center"/>
    </xf>
    <xf numFmtId="0" fontId="13" fillId="10" borderId="24" xfId="0" applyFont="1" applyFill="1" applyBorder="1" applyAlignment="1">
      <alignment horizontal="centerContinuous" vertical="center"/>
    </xf>
    <xf numFmtId="0" fontId="14" fillId="10" borderId="6" xfId="0" applyFont="1" applyFill="1" applyBorder="1" applyAlignment="1" applyProtection="1">
      <alignment horizontal="center" vertical="center" wrapText="1"/>
    </xf>
    <xf numFmtId="0" fontId="14" fillId="10" borderId="3" xfId="0" applyFont="1" applyFill="1" applyBorder="1" applyAlignment="1" applyProtection="1">
      <alignment horizontal="center" vertical="center" wrapText="1"/>
    </xf>
    <xf numFmtId="0" fontId="14" fillId="10" borderId="25" xfId="0" applyFont="1" applyFill="1" applyBorder="1" applyAlignment="1" applyProtection="1">
      <alignment horizontal="center" vertical="center" wrapText="1"/>
    </xf>
    <xf numFmtId="0" fontId="14" fillId="10" borderId="38" xfId="0" applyFont="1" applyFill="1" applyBorder="1" applyAlignment="1" applyProtection="1">
      <alignment horizontal="center" vertical="center" wrapText="1"/>
    </xf>
    <xf numFmtId="0" fontId="30" fillId="0" borderId="0" xfId="0" applyFont="1" applyAlignment="1">
      <alignment horizontal="centerContinuous" vertical="center"/>
    </xf>
    <xf numFmtId="0" fontId="38" fillId="0" borderId="0" xfId="5" applyFont="1" applyAlignment="1">
      <alignment horizontal="centerContinuous" vertical="center"/>
    </xf>
    <xf numFmtId="0" fontId="37" fillId="0" borderId="0" xfId="5" applyAlignment="1">
      <alignment horizontal="centerContinuous" vertical="center"/>
    </xf>
    <xf numFmtId="0" fontId="37" fillId="0" borderId="0" xfId="5" applyAlignment="1">
      <alignment vertical="center"/>
    </xf>
    <xf numFmtId="49" fontId="37" fillId="0" borderId="0" xfId="5" applyNumberFormat="1" applyAlignment="1">
      <alignment vertical="center"/>
    </xf>
    <xf numFmtId="167" fontId="39" fillId="11" borderId="42" xfId="5" applyNumberFormat="1" applyFont="1" applyFill="1" applyBorder="1" applyAlignment="1">
      <alignment horizontal="centerContinuous" vertical="center"/>
    </xf>
    <xf numFmtId="167" fontId="39" fillId="11" borderId="43" xfId="5" applyNumberFormat="1" applyFont="1" applyFill="1" applyBorder="1" applyAlignment="1">
      <alignment horizontal="centerContinuous" vertical="center"/>
    </xf>
    <xf numFmtId="0" fontId="37" fillId="11" borderId="43" xfId="5" applyFill="1" applyBorder="1" applyAlignment="1">
      <alignment horizontal="centerContinuous" vertical="center"/>
    </xf>
    <xf numFmtId="0" fontId="37" fillId="11" borderId="44" xfId="5" applyFill="1" applyBorder="1" applyAlignment="1">
      <alignment horizontal="centerContinuous" vertical="center"/>
    </xf>
    <xf numFmtId="0" fontId="39" fillId="11" borderId="42" xfId="5" applyFont="1" applyFill="1" applyBorder="1" applyAlignment="1">
      <alignment horizontal="centerContinuous" vertical="center"/>
    </xf>
    <xf numFmtId="0" fontId="39" fillId="11" borderId="43" xfId="5" applyFont="1" applyFill="1" applyBorder="1" applyAlignment="1">
      <alignment horizontal="centerContinuous" vertical="center"/>
    </xf>
    <xf numFmtId="0" fontId="39" fillId="11" borderId="44" xfId="5" applyFont="1" applyFill="1" applyBorder="1" applyAlignment="1">
      <alignment horizontal="centerContinuous" vertical="center"/>
    </xf>
    <xf numFmtId="0" fontId="39" fillId="3" borderId="1" xfId="5" applyFont="1" applyFill="1" applyBorder="1" applyAlignment="1">
      <alignment horizontal="center" vertical="center" wrapText="1"/>
    </xf>
    <xf numFmtId="0" fontId="37" fillId="11" borderId="45" xfId="5" applyFont="1" applyFill="1" applyBorder="1" applyAlignment="1">
      <alignment horizontal="center" vertical="center" wrapText="1"/>
    </xf>
    <xf numFmtId="0" fontId="37" fillId="11" borderId="46" xfId="5" applyFont="1" applyFill="1" applyBorder="1" applyAlignment="1">
      <alignment horizontal="center" vertical="center" wrapText="1"/>
    </xf>
    <xf numFmtId="0" fontId="37" fillId="11" borderId="47" xfId="5" applyFont="1" applyFill="1" applyBorder="1" applyAlignment="1">
      <alignment horizontal="center" vertical="center" wrapText="1"/>
    </xf>
    <xf numFmtId="0" fontId="37" fillId="11" borderId="48" xfId="5" applyFont="1" applyFill="1" applyBorder="1" applyAlignment="1">
      <alignment horizontal="center" vertical="center" wrapText="1"/>
    </xf>
    <xf numFmtId="167" fontId="0" fillId="11" borderId="51" xfId="6" applyNumberFormat="1" applyFont="1" applyFill="1" applyBorder="1" applyAlignment="1">
      <alignment horizontal="center" vertical="center" wrapText="1"/>
    </xf>
    <xf numFmtId="167" fontId="0" fillId="11" borderId="52" xfId="6" applyNumberFormat="1" applyFont="1" applyFill="1" applyBorder="1" applyAlignment="1">
      <alignment horizontal="center" vertical="center" wrapText="1"/>
    </xf>
    <xf numFmtId="167" fontId="0" fillId="11" borderId="53" xfId="6" applyNumberFormat="1" applyFont="1" applyFill="1" applyBorder="1" applyAlignment="1">
      <alignment horizontal="center" vertical="center" wrapText="1"/>
    </xf>
    <xf numFmtId="167" fontId="0" fillId="11" borderId="54" xfId="6" applyNumberFormat="1" applyFont="1" applyFill="1" applyBorder="1" applyAlignment="1">
      <alignment horizontal="center" vertical="center" wrapText="1"/>
    </xf>
    <xf numFmtId="167" fontId="37" fillId="11" borderId="48" xfId="6" applyNumberFormat="1" applyFont="1" applyFill="1" applyBorder="1" applyAlignment="1">
      <alignment horizontal="center" vertical="center" wrapText="1"/>
    </xf>
    <xf numFmtId="49" fontId="40" fillId="0" borderId="55" xfId="5" applyNumberFormat="1" applyFont="1" applyBorder="1" applyAlignment="1">
      <alignment vertical="center"/>
    </xf>
    <xf numFmtId="0" fontId="37" fillId="0" borderId="55" xfId="5" applyBorder="1" applyAlignment="1">
      <alignment vertical="center"/>
    </xf>
    <xf numFmtId="0" fontId="37" fillId="0" borderId="55" xfId="5" applyBorder="1" applyAlignment="1">
      <alignment horizontal="center" vertical="center"/>
    </xf>
    <xf numFmtId="167" fontId="41" fillId="0" borderId="55" xfId="6" applyNumberFormat="1" applyFont="1" applyBorder="1" applyAlignment="1">
      <alignment vertical="center"/>
    </xf>
    <xf numFmtId="37" fontId="41" fillId="0" borderId="55" xfId="6" applyNumberFormat="1" applyFont="1" applyBorder="1" applyAlignment="1">
      <alignment vertical="center"/>
    </xf>
    <xf numFmtId="3" fontId="41" fillId="0" borderId="55" xfId="6" applyNumberFormat="1" applyFont="1" applyBorder="1" applyAlignment="1">
      <alignment vertical="center"/>
    </xf>
    <xf numFmtId="49" fontId="40" fillId="0" borderId="56" xfId="5" applyNumberFormat="1" applyFont="1" applyBorder="1" applyAlignment="1">
      <alignment vertical="center"/>
    </xf>
    <xf numFmtId="0" fontId="37" fillId="0" borderId="56" xfId="5" applyBorder="1" applyAlignment="1">
      <alignment vertical="center"/>
    </xf>
    <xf numFmtId="0" fontId="37" fillId="0" borderId="56" xfId="5" applyBorder="1" applyAlignment="1">
      <alignment horizontal="center" vertical="center"/>
    </xf>
    <xf numFmtId="167" fontId="41" fillId="0" borderId="56" xfId="6" applyNumberFormat="1" applyFont="1" applyBorder="1" applyAlignment="1">
      <alignment vertical="center"/>
    </xf>
    <xf numFmtId="37" fontId="41" fillId="0" borderId="56" xfId="6" applyNumberFormat="1" applyFont="1" applyBorder="1" applyAlignment="1">
      <alignment vertical="center"/>
    </xf>
    <xf numFmtId="3" fontId="41" fillId="0" borderId="56" xfId="6" applyNumberFormat="1" applyFont="1" applyBorder="1" applyAlignment="1">
      <alignment vertical="center"/>
    </xf>
    <xf numFmtId="49" fontId="40" fillId="0" borderId="56" xfId="5" applyNumberFormat="1" applyFont="1" applyFill="1" applyBorder="1" applyAlignment="1">
      <alignment vertical="center"/>
    </xf>
    <xf numFmtId="0" fontId="37" fillId="0" borderId="56" xfId="5" applyFill="1" applyBorder="1" applyAlignment="1">
      <alignment vertical="center"/>
    </xf>
    <xf numFmtId="0" fontId="37" fillId="0" borderId="56" xfId="5" applyFill="1" applyBorder="1" applyAlignment="1">
      <alignment horizontal="center" vertical="center"/>
    </xf>
    <xf numFmtId="0" fontId="37" fillId="0" borderId="0" xfId="5" applyAlignment="1">
      <alignment horizontal="center" vertical="center"/>
    </xf>
    <xf numFmtId="0" fontId="41" fillId="0" borderId="0" xfId="5" applyFont="1" applyAlignment="1">
      <alignment vertical="center"/>
    </xf>
    <xf numFmtId="3" fontId="42" fillId="0" borderId="0" xfId="5" applyNumberFormat="1" applyFont="1" applyFill="1" applyBorder="1" applyAlignment="1">
      <alignment vertical="center"/>
    </xf>
    <xf numFmtId="165" fontId="41" fillId="0" borderId="0" xfId="5" applyNumberFormat="1" applyFont="1" applyAlignment="1">
      <alignment vertical="center"/>
    </xf>
    <xf numFmtId="49" fontId="37" fillId="0" borderId="55" xfId="5" applyNumberFormat="1" applyBorder="1" applyAlignment="1">
      <alignment vertical="center"/>
    </xf>
    <xf numFmtId="167" fontId="41" fillId="0" borderId="55" xfId="5" applyNumberFormat="1" applyFont="1" applyBorder="1" applyAlignment="1">
      <alignment vertical="center"/>
    </xf>
    <xf numFmtId="165" fontId="0" fillId="0" borderId="0" xfId="7" applyNumberFormat="1" applyFont="1" applyAlignment="1">
      <alignment vertical="center"/>
    </xf>
    <xf numFmtId="0" fontId="0" fillId="0" borderId="0" xfId="0" applyAlignment="1">
      <alignment horizontal="left" vertical="center"/>
    </xf>
    <xf numFmtId="164" fontId="0" fillId="0" borderId="0" xfId="0" applyNumberFormat="1" applyFill="1" applyAlignment="1">
      <alignment vertical="center"/>
    </xf>
    <xf numFmtId="0" fontId="30" fillId="0" borderId="0" xfId="0" applyFont="1" applyAlignment="1">
      <alignment horizontal="center" vertical="center"/>
    </xf>
    <xf numFmtId="0" fontId="24" fillId="0" borderId="0" xfId="0" applyFont="1" applyAlignment="1">
      <alignment horizontal="left" vertical="center"/>
    </xf>
    <xf numFmtId="0" fontId="14" fillId="10" borderId="58" xfId="0" applyFont="1" applyFill="1" applyBorder="1" applyAlignment="1" applyProtection="1">
      <alignment horizontal="center" vertical="center" wrapText="1"/>
    </xf>
    <xf numFmtId="0" fontId="14" fillId="10" borderId="23" xfId="0" applyFont="1" applyFill="1" applyBorder="1" applyAlignment="1">
      <alignment horizontal="centerContinuous" vertical="center"/>
    </xf>
    <xf numFmtId="0" fontId="14" fillId="10" borderId="30" xfId="0" applyFont="1" applyFill="1" applyBorder="1" applyAlignment="1" applyProtection="1">
      <alignment horizontal="center" vertical="center" wrapText="1"/>
    </xf>
    <xf numFmtId="3" fontId="12" fillId="0" borderId="60" xfId="0" applyNumberFormat="1" applyFont="1" applyBorder="1" applyAlignment="1">
      <alignment horizontal="center" vertical="center"/>
    </xf>
    <xf numFmtId="10" fontId="12" fillId="0" borderId="15" xfId="2" applyNumberFormat="1" applyFont="1" applyBorder="1" applyAlignment="1" applyProtection="1">
      <alignment horizontal="center" vertical="center" wrapText="1"/>
    </xf>
    <xf numFmtId="10" fontId="12" fillId="0" borderId="59" xfId="2" applyNumberFormat="1" applyFont="1" applyBorder="1" applyAlignment="1" applyProtection="1">
      <alignment horizontal="center" vertical="center"/>
    </xf>
    <xf numFmtId="0" fontId="14" fillId="3" borderId="58" xfId="0" applyFont="1" applyFill="1" applyBorder="1" applyAlignment="1" applyProtection="1">
      <alignment horizontal="center" vertical="center" wrapText="1"/>
    </xf>
    <xf numFmtId="0" fontId="14" fillId="0" borderId="0" xfId="0" quotePrefix="1" applyFont="1" applyAlignment="1">
      <alignment vertical="center"/>
    </xf>
    <xf numFmtId="3" fontId="12" fillId="0" borderId="1" xfId="0" applyNumberFormat="1" applyFont="1" applyBorder="1" applyAlignment="1" applyProtection="1">
      <alignment horizontal="center" vertical="center" wrapText="1"/>
    </xf>
    <xf numFmtId="0" fontId="10" fillId="0" borderId="7" xfId="0" applyFont="1" applyBorder="1" applyAlignment="1">
      <alignment horizontal="center" vertical="center"/>
    </xf>
    <xf numFmtId="166" fontId="12" fillId="0" borderId="5" xfId="0" applyNumberFormat="1" applyFont="1" applyFill="1" applyBorder="1" applyAlignment="1" applyProtection="1">
      <alignment horizontal="center" vertical="center"/>
    </xf>
    <xf numFmtId="166" fontId="12" fillId="0" borderId="12"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xf>
    <xf numFmtId="0" fontId="10" fillId="0" borderId="7" xfId="0" applyFont="1" applyBorder="1" applyAlignment="1">
      <alignment horizontal="center"/>
    </xf>
    <xf numFmtId="0" fontId="14" fillId="3" borderId="37" xfId="0" applyFont="1" applyFill="1" applyBorder="1" applyAlignment="1" applyProtection="1">
      <alignment horizontal="center" vertical="center" wrapText="1"/>
    </xf>
    <xf numFmtId="3" fontId="12" fillId="0" borderId="31" xfId="0" applyNumberFormat="1" applyFont="1" applyBorder="1" applyAlignment="1">
      <alignment horizontal="center" vertical="center"/>
    </xf>
    <xf numFmtId="0" fontId="14" fillId="10" borderId="37" xfId="0" applyFont="1" applyFill="1" applyBorder="1" applyAlignment="1" applyProtection="1">
      <alignment horizontal="center" vertical="center" wrapText="1"/>
    </xf>
    <xf numFmtId="0" fontId="0" fillId="9" borderId="14" xfId="0" applyFont="1" applyFill="1" applyBorder="1" applyAlignment="1">
      <alignment horizontal="center" vertical="center"/>
    </xf>
    <xf numFmtId="0" fontId="0" fillId="9" borderId="15" xfId="0" applyFill="1" applyBorder="1" applyAlignment="1">
      <alignment horizontal="centerContinuous" vertical="center"/>
    </xf>
    <xf numFmtId="0" fontId="0" fillId="9" borderId="10" xfId="0" applyFill="1" applyBorder="1" applyAlignment="1">
      <alignment horizontal="centerContinuous" vertical="center"/>
    </xf>
    <xf numFmtId="0" fontId="0" fillId="9"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9" borderId="61" xfId="0" applyFont="1" applyFill="1" applyBorder="1" applyAlignment="1">
      <alignment horizontal="center" vertical="center"/>
    </xf>
    <xf numFmtId="0" fontId="10" fillId="9" borderId="32" xfId="0" applyFont="1" applyFill="1" applyBorder="1" applyAlignment="1">
      <alignment horizontal="center" vertical="center"/>
    </xf>
    <xf numFmtId="0" fontId="14" fillId="3" borderId="62" xfId="0" applyFont="1" applyFill="1" applyBorder="1" applyAlignment="1">
      <alignment horizontal="left" vertical="center" wrapText="1" indent="1"/>
    </xf>
    <xf numFmtId="0" fontId="14" fillId="3" borderId="63" xfId="0" applyFont="1" applyFill="1" applyBorder="1" applyAlignment="1">
      <alignment horizontal="left" vertical="center" wrapText="1" indent="1"/>
    </xf>
    <xf numFmtId="0" fontId="14" fillId="3" borderId="64" xfId="0" applyFont="1" applyFill="1" applyBorder="1" applyAlignment="1">
      <alignment horizontal="left" vertical="center" wrapText="1" indent="1"/>
    </xf>
    <xf numFmtId="165" fontId="12" fillId="0" borderId="5" xfId="0" applyNumberFormat="1" applyFont="1" applyBorder="1" applyAlignment="1" applyProtection="1">
      <alignment horizontal="center" vertical="center"/>
    </xf>
    <xf numFmtId="3" fontId="30" fillId="0" borderId="19" xfId="0" applyNumberFormat="1" applyFont="1" applyBorder="1" applyAlignment="1">
      <alignment horizontal="center" vertical="center"/>
    </xf>
    <xf numFmtId="3" fontId="30" fillId="0" borderId="11" xfId="0" applyNumberFormat="1" applyFont="1" applyBorder="1" applyAlignment="1">
      <alignment horizontal="center" vertical="center"/>
    </xf>
    <xf numFmtId="0" fontId="14" fillId="10" borderId="62" xfId="0" applyFont="1" applyFill="1" applyBorder="1" applyAlignment="1">
      <alignment horizontal="left" vertical="center" wrapText="1" indent="1"/>
    </xf>
    <xf numFmtId="0" fontId="14" fillId="10" borderId="63" xfId="0" applyFont="1" applyFill="1" applyBorder="1" applyAlignment="1">
      <alignment horizontal="left" vertical="center" wrapText="1" indent="1"/>
    </xf>
    <xf numFmtId="0" fontId="14" fillId="10" borderId="64" xfId="0" applyFont="1" applyFill="1" applyBorder="1" applyAlignment="1">
      <alignment horizontal="left" vertical="center" wrapText="1" indent="1"/>
    </xf>
    <xf numFmtId="165" fontId="30" fillId="0" borderId="11" xfId="2" applyNumberFormat="1" applyFont="1" applyBorder="1" applyAlignment="1">
      <alignment horizontal="center" vertical="center"/>
    </xf>
    <xf numFmtId="165" fontId="30" fillId="0" borderId="12" xfId="2" applyNumberFormat="1" applyFont="1" applyBorder="1" applyAlignment="1">
      <alignment horizontal="center" vertical="center"/>
    </xf>
    <xf numFmtId="1" fontId="0" fillId="0" borderId="0" xfId="0" applyNumberFormat="1" applyAlignment="1">
      <alignment vertical="center"/>
    </xf>
    <xf numFmtId="1" fontId="24" fillId="0" borderId="0" xfId="0" applyNumberFormat="1" applyFont="1" applyAlignment="1">
      <alignment vertical="center"/>
    </xf>
    <xf numFmtId="1" fontId="0" fillId="0" borderId="0" xfId="0" applyNumberFormat="1" applyAlignment="1">
      <alignment horizontal="left" vertical="center"/>
    </xf>
    <xf numFmtId="49" fontId="25" fillId="2" borderId="0" xfId="0" quotePrefix="1" applyNumberFormat="1" applyFont="1" applyFill="1" applyBorder="1" applyAlignment="1">
      <alignment horizontal="left" vertical="center"/>
    </xf>
    <xf numFmtId="164" fontId="24" fillId="0" borderId="0" xfId="0" applyNumberFormat="1" applyFont="1" applyFill="1" applyAlignment="1">
      <alignment horizontal="left" vertical="center"/>
    </xf>
    <xf numFmtId="3" fontId="12" fillId="0" borderId="4"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xf>
    <xf numFmtId="0" fontId="14" fillId="10" borderId="63" xfId="0" applyFont="1" applyFill="1" applyBorder="1" applyAlignment="1" applyProtection="1">
      <alignment horizontal="left" vertical="center" wrapText="1" indent="1"/>
      <protection locked="0"/>
    </xf>
    <xf numFmtId="3" fontId="12" fillId="0" borderId="11" xfId="0" applyNumberFormat="1" applyFont="1" applyBorder="1" applyAlignment="1" applyProtection="1">
      <alignment horizontal="center" vertical="center"/>
    </xf>
    <xf numFmtId="165" fontId="12" fillId="0" borderId="11" xfId="0" applyNumberFormat="1" applyFont="1" applyBorder="1" applyAlignment="1" applyProtection="1">
      <alignment horizontal="center" vertical="center"/>
    </xf>
    <xf numFmtId="165" fontId="12" fillId="0" borderId="12" xfId="0" applyNumberFormat="1" applyFont="1" applyBorder="1" applyAlignment="1" applyProtection="1">
      <alignment horizontal="center" vertical="center"/>
    </xf>
    <xf numFmtId="0" fontId="30" fillId="10" borderId="23" xfId="0" applyFont="1" applyFill="1" applyBorder="1" applyAlignment="1">
      <alignment horizontal="centerContinuous" vertical="center"/>
    </xf>
    <xf numFmtId="0" fontId="30" fillId="10" borderId="24" xfId="0" applyFont="1" applyFill="1" applyBorder="1" applyAlignment="1">
      <alignment horizontal="centerContinuous" vertical="center"/>
    </xf>
    <xf numFmtId="0" fontId="30" fillId="3" borderId="40" xfId="0" applyFont="1" applyFill="1" applyBorder="1" applyAlignment="1">
      <alignment horizontal="centerContinuous" vertical="center"/>
    </xf>
    <xf numFmtId="0" fontId="14" fillId="10" borderId="65" xfId="0" applyFont="1" applyFill="1" applyBorder="1" applyAlignment="1" applyProtection="1">
      <alignment horizontal="left" vertical="center" wrapText="1" indent="1"/>
      <protection locked="0"/>
    </xf>
    <xf numFmtId="3" fontId="12" fillId="0" borderId="60" xfId="0" applyNumberFormat="1" applyFont="1" applyBorder="1" applyAlignment="1" applyProtection="1">
      <alignment horizontal="center" vertical="center"/>
    </xf>
    <xf numFmtId="0" fontId="14" fillId="3" borderId="66" xfId="0" applyFont="1" applyFill="1" applyBorder="1" applyAlignment="1">
      <alignment horizontal="center" vertical="center"/>
    </xf>
    <xf numFmtId="0" fontId="13" fillId="0" borderId="20" xfId="0" applyFont="1" applyBorder="1" applyAlignment="1">
      <alignment horizontal="center" vertical="center"/>
    </xf>
    <xf numFmtId="0" fontId="10" fillId="0" borderId="20" xfId="0" applyFont="1" applyBorder="1" applyAlignment="1">
      <alignment horizontal="center" vertical="center"/>
    </xf>
    <xf numFmtId="0" fontId="13" fillId="0" borderId="21" xfId="0" applyFont="1" applyBorder="1" applyAlignment="1">
      <alignment horizontal="center" vertical="center"/>
    </xf>
    <xf numFmtId="0" fontId="30" fillId="3" borderId="23" xfId="0" applyFont="1" applyFill="1" applyBorder="1" applyAlignment="1">
      <alignment horizontal="centerContinuous" vertical="center"/>
    </xf>
    <xf numFmtId="0" fontId="30" fillId="3" borderId="24" xfId="0" applyFont="1" applyFill="1" applyBorder="1" applyAlignment="1">
      <alignment horizontal="centerContinuous" vertical="center"/>
    </xf>
    <xf numFmtId="0" fontId="14" fillId="3" borderId="62" xfId="0" applyFont="1" applyFill="1" applyBorder="1" applyAlignment="1" applyProtection="1">
      <alignment horizontal="left" vertical="center" wrapText="1" indent="1"/>
      <protection locked="0"/>
    </xf>
    <xf numFmtId="0" fontId="14" fillId="3" borderId="63" xfId="0" applyFont="1" applyFill="1" applyBorder="1" applyAlignment="1" applyProtection="1">
      <alignment horizontal="left" vertical="center" wrapText="1" indent="1"/>
      <protection locked="0"/>
    </xf>
    <xf numFmtId="3" fontId="12" fillId="0" borderId="2" xfId="0" applyNumberFormat="1" applyFont="1" applyBorder="1" applyAlignment="1" applyProtection="1">
      <alignment horizontal="center" vertical="center"/>
    </xf>
    <xf numFmtId="3" fontId="12" fillId="0" borderId="19" xfId="0" applyNumberFormat="1" applyFont="1" applyBorder="1" applyAlignment="1" applyProtection="1">
      <alignment horizontal="center" vertical="center"/>
    </xf>
    <xf numFmtId="0" fontId="14" fillId="10" borderId="62" xfId="0" applyFont="1" applyFill="1" applyBorder="1" applyAlignment="1" applyProtection="1">
      <alignment horizontal="left" vertical="center" wrapText="1" indent="1"/>
      <protection locked="0"/>
    </xf>
    <xf numFmtId="0" fontId="45" fillId="10" borderId="23" xfId="0" applyFont="1" applyFill="1" applyBorder="1" applyAlignment="1">
      <alignment horizontal="centerContinuous" vertical="center"/>
    </xf>
    <xf numFmtId="0" fontId="45" fillId="3" borderId="22" xfId="0" applyFont="1" applyFill="1" applyBorder="1" applyAlignment="1">
      <alignment horizontal="centerContinuous" vertical="center"/>
    </xf>
    <xf numFmtId="0" fontId="45" fillId="10" borderId="22" xfId="0" applyFont="1" applyFill="1" applyBorder="1" applyAlignment="1">
      <alignment horizontal="centerContinuous" vertical="center"/>
    </xf>
    <xf numFmtId="0" fontId="45" fillId="3" borderId="23" xfId="0" applyFont="1" applyFill="1" applyBorder="1" applyAlignment="1">
      <alignment horizontal="centerContinuous" vertical="center"/>
    </xf>
    <xf numFmtId="0" fontId="45" fillId="10" borderId="22" xfId="0" applyFont="1" applyFill="1" applyBorder="1" applyAlignment="1">
      <alignment horizontal="centerContinuous" vertical="center" wrapText="1"/>
    </xf>
    <xf numFmtId="0" fontId="36" fillId="11" borderId="0" xfId="3" applyFont="1" applyFill="1" applyAlignment="1">
      <alignment horizontal="centerContinuous" vertical="center"/>
    </xf>
    <xf numFmtId="0" fontId="9" fillId="11" borderId="0" xfId="3" applyFill="1" applyAlignment="1">
      <alignment horizontal="centerContinuous" vertical="center"/>
    </xf>
    <xf numFmtId="49" fontId="13" fillId="0" borderId="20" xfId="0" applyNumberFormat="1" applyFont="1" applyBorder="1" applyAlignment="1">
      <alignment horizontal="center" vertical="center"/>
    </xf>
    <xf numFmtId="49" fontId="10" fillId="0" borderId="20" xfId="0" applyNumberFormat="1" applyFont="1" applyBorder="1" applyAlignment="1">
      <alignment horizontal="center" vertical="center"/>
    </xf>
    <xf numFmtId="0" fontId="14" fillId="10" borderId="62" xfId="0" applyFont="1" applyFill="1" applyBorder="1" applyAlignment="1">
      <alignment horizontal="center" vertical="center" wrapText="1"/>
    </xf>
    <xf numFmtId="0" fontId="14" fillId="10" borderId="63"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10" borderId="64" xfId="0" applyFont="1" applyFill="1" applyBorder="1" applyAlignment="1">
      <alignment horizontal="center" vertical="center" wrapText="1"/>
    </xf>
    <xf numFmtId="0" fontId="14" fillId="4" borderId="15" xfId="0" applyFont="1" applyFill="1" applyBorder="1" applyAlignment="1">
      <alignment horizontal="center" vertical="center"/>
    </xf>
    <xf numFmtId="0" fontId="0" fillId="5" borderId="15" xfId="0" applyFill="1" applyBorder="1" applyAlignment="1">
      <alignment horizontal="center" vertical="center"/>
    </xf>
    <xf numFmtId="0" fontId="0" fillId="0" borderId="15" xfId="0" applyNumberFormat="1" applyBorder="1" applyAlignment="1">
      <alignment horizontal="center" vertical="center"/>
    </xf>
    <xf numFmtId="0" fontId="0" fillId="6" borderId="67" xfId="0" applyFill="1" applyBorder="1" applyAlignment="1">
      <alignment horizontal="center" vertical="center"/>
    </xf>
    <xf numFmtId="49" fontId="0" fillId="0" borderId="67" xfId="0" applyNumberFormat="1" applyBorder="1" applyAlignment="1">
      <alignment horizontal="center" vertical="center"/>
    </xf>
    <xf numFmtId="49" fontId="10" fillId="0" borderId="68" xfId="0" applyNumberFormat="1" applyFont="1" applyBorder="1" applyAlignment="1">
      <alignment horizontal="center" vertical="center"/>
    </xf>
    <xf numFmtId="49" fontId="0" fillId="0" borderId="68" xfId="0" applyNumberFormat="1" applyBorder="1" applyAlignment="1">
      <alignment horizontal="center" vertical="center"/>
    </xf>
    <xf numFmtId="49" fontId="0" fillId="0" borderId="35" xfId="0" applyNumberFormat="1" applyBorder="1" applyAlignment="1">
      <alignment horizontal="center" vertical="center"/>
    </xf>
    <xf numFmtId="0" fontId="14"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2" xfId="0" applyFill="1" applyBorder="1" applyAlignment="1">
      <alignment horizontal="center" vertical="center"/>
    </xf>
    <xf numFmtId="49" fontId="0" fillId="0" borderId="32" xfId="0" applyNumberFormat="1" applyBorder="1" applyAlignment="1">
      <alignment horizontal="center" vertical="center"/>
    </xf>
    <xf numFmtId="49" fontId="0" fillId="0" borderId="69" xfId="0" applyNumberFormat="1" applyBorder="1" applyAlignment="1">
      <alignment horizontal="center" vertical="center"/>
    </xf>
    <xf numFmtId="49" fontId="0" fillId="0" borderId="36" xfId="0" applyNumberFormat="1" applyBorder="1" applyAlignment="1">
      <alignment horizontal="center" vertical="center"/>
    </xf>
    <xf numFmtId="0" fontId="10" fillId="0" borderId="0" xfId="0" applyFont="1" applyFill="1" applyBorder="1" applyAlignment="1">
      <alignment vertical="center"/>
    </xf>
    <xf numFmtId="49" fontId="0" fillId="0" borderId="7" xfId="0" applyNumberFormat="1" applyFill="1" applyBorder="1" applyAlignment="1">
      <alignment horizontal="center" vertical="center"/>
    </xf>
    <xf numFmtId="49" fontId="10" fillId="0" borderId="21"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70" xfId="0" applyFill="1" applyBorder="1" applyAlignment="1">
      <alignment horizontal="centerContinuous" vertical="center"/>
    </xf>
    <xf numFmtId="0" fontId="0" fillId="6" borderId="29" xfId="0" applyFill="1" applyBorder="1" applyAlignment="1">
      <alignment horizontal="center" vertical="center"/>
    </xf>
    <xf numFmtId="0" fontId="0" fillId="5" borderId="29" xfId="0" applyFill="1" applyBorder="1" applyAlignment="1">
      <alignment horizontal="center" vertical="center"/>
    </xf>
    <xf numFmtId="0" fontId="10" fillId="0" borderId="0" xfId="0" applyFont="1" applyAlignment="1">
      <alignment horizontal="left" vertical="center" indent="1"/>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10" fillId="12" borderId="14" xfId="0" applyFont="1" applyFill="1" applyBorder="1" applyAlignment="1">
      <alignment horizontal="center" vertical="center"/>
    </xf>
    <xf numFmtId="0" fontId="10" fillId="0" borderId="0" xfId="0" applyFont="1"/>
    <xf numFmtId="0" fontId="6" fillId="0" borderId="0" xfId="3" applyFont="1" applyAlignment="1">
      <alignment vertical="center"/>
    </xf>
    <xf numFmtId="0" fontId="5" fillId="0" borderId="0" xfId="3" applyFont="1" applyAlignment="1">
      <alignment vertical="center"/>
    </xf>
    <xf numFmtId="0" fontId="37" fillId="0" borderId="0" xfId="5" applyAlignment="1">
      <alignment horizontal="centerContinuous" vertical="top"/>
    </xf>
    <xf numFmtId="0" fontId="37" fillId="0" borderId="0" xfId="5" applyAlignment="1">
      <alignment vertical="top"/>
    </xf>
    <xf numFmtId="0" fontId="39" fillId="11" borderId="71" xfId="5" applyFont="1" applyFill="1" applyBorder="1" applyAlignment="1">
      <alignment horizontal="centerContinuous" vertical="center" wrapText="1"/>
    </xf>
    <xf numFmtId="0" fontId="37" fillId="0" borderId="0" xfId="5"/>
    <xf numFmtId="0" fontId="0" fillId="0" borderId="15" xfId="0" pivotButton="1" applyBorder="1" applyAlignment="1">
      <alignment vertical="center"/>
    </xf>
    <xf numFmtId="0" fontId="0" fillId="0" borderId="72" xfId="0" applyBorder="1" applyAlignment="1">
      <alignment horizontal="left" vertical="center"/>
    </xf>
    <xf numFmtId="0" fontId="0" fillId="0" borderId="73" xfId="0" applyBorder="1" applyAlignment="1">
      <alignment horizontal="left" vertical="center"/>
    </xf>
    <xf numFmtId="49" fontId="23" fillId="10" borderId="0" xfId="5" applyNumberFormat="1" applyFont="1" applyFill="1" applyAlignment="1">
      <alignment vertical="center"/>
    </xf>
    <xf numFmtId="0" fontId="37" fillId="10" borderId="0" xfId="5" applyFill="1" applyAlignment="1">
      <alignment vertical="center"/>
    </xf>
    <xf numFmtId="0" fontId="23" fillId="10" borderId="0" xfId="5" applyFont="1" applyFill="1" applyAlignment="1">
      <alignment horizontal="center" vertical="center"/>
    </xf>
    <xf numFmtId="0" fontId="37" fillId="11" borderId="49" xfId="5" applyFont="1" applyFill="1" applyBorder="1" applyAlignment="1">
      <alignment horizontal="center" vertical="center" wrapText="1"/>
    </xf>
    <xf numFmtId="0" fontId="37" fillId="11" borderId="50" xfId="5" applyFont="1" applyFill="1" applyBorder="1" applyAlignment="1">
      <alignment horizontal="center" vertical="center" wrapText="1"/>
    </xf>
    <xf numFmtId="165" fontId="41" fillId="0" borderId="55" xfId="7" applyNumberFormat="1" applyFont="1" applyBorder="1" applyAlignment="1">
      <alignment horizontal="center" vertical="center"/>
    </xf>
    <xf numFmtId="165" fontId="41" fillId="0" borderId="55" xfId="6" applyNumberFormat="1" applyFont="1" applyBorder="1" applyAlignment="1">
      <alignment horizontal="center" vertical="center"/>
    </xf>
    <xf numFmtId="165" fontId="41" fillId="0" borderId="56" xfId="7" applyNumberFormat="1" applyFont="1" applyBorder="1" applyAlignment="1">
      <alignment horizontal="center" vertical="center"/>
    </xf>
    <xf numFmtId="165" fontId="41" fillId="0" borderId="56" xfId="6" applyNumberFormat="1" applyFont="1" applyBorder="1" applyAlignment="1">
      <alignment horizontal="center" vertical="center"/>
    </xf>
    <xf numFmtId="165" fontId="41" fillId="0" borderId="57" xfId="6" applyNumberFormat="1" applyFont="1" applyBorder="1" applyAlignment="1">
      <alignment horizontal="center" vertical="center"/>
    </xf>
    <xf numFmtId="165" fontId="0" fillId="0" borderId="0" xfId="7" applyNumberFormat="1" applyFont="1" applyAlignment="1">
      <alignment horizontal="center" vertical="center"/>
    </xf>
    <xf numFmtId="165" fontId="43" fillId="0" borderId="57" xfId="5" applyNumberFormat="1" applyFont="1" applyBorder="1" applyAlignment="1">
      <alignment horizontal="centerContinuous" vertical="center"/>
    </xf>
    <xf numFmtId="0" fontId="14" fillId="0" borderId="0" xfId="13" applyFont="1" applyAlignment="1">
      <alignment horizontal="centerContinuous" vertical="center" wrapText="1"/>
    </xf>
    <xf numFmtId="0" fontId="10" fillId="0" borderId="1" xfId="0" applyFont="1" applyBorder="1" applyAlignment="1">
      <alignment horizontal="center" vertical="center" wrapText="1"/>
    </xf>
    <xf numFmtId="0" fontId="14" fillId="12" borderId="6" xfId="0" applyFont="1" applyFill="1" applyBorder="1" applyAlignment="1" applyProtection="1">
      <alignment horizontal="center" vertical="center" wrapText="1"/>
    </xf>
    <xf numFmtId="0" fontId="14" fillId="12" borderId="3" xfId="0" applyFont="1" applyFill="1" applyBorder="1" applyAlignment="1" applyProtection="1">
      <alignment horizontal="center" vertical="center" wrapText="1"/>
    </xf>
    <xf numFmtId="0" fontId="14" fillId="12" borderId="25" xfId="0" applyFont="1" applyFill="1" applyBorder="1" applyAlignment="1" applyProtection="1">
      <alignment horizontal="center" vertical="center" wrapText="1"/>
    </xf>
    <xf numFmtId="0" fontId="28" fillId="10" borderId="23" xfId="0" applyFont="1" applyFill="1" applyBorder="1" applyAlignment="1">
      <alignment horizontal="centerContinuous" vertical="center"/>
    </xf>
    <xf numFmtId="0" fontId="28" fillId="10" borderId="24" xfId="0" applyFont="1" applyFill="1" applyBorder="1" applyAlignment="1">
      <alignment horizontal="centerContinuous" vertical="center"/>
    </xf>
    <xf numFmtId="0" fontId="45" fillId="12" borderId="22" xfId="0" applyFont="1" applyFill="1" applyBorder="1" applyAlignment="1">
      <alignment horizontal="centerContinuous" vertical="center" wrapText="1"/>
    </xf>
    <xf numFmtId="0" fontId="28" fillId="12" borderId="23" xfId="0" applyFont="1" applyFill="1" applyBorder="1" applyAlignment="1">
      <alignment horizontal="centerContinuous" vertical="center"/>
    </xf>
    <xf numFmtId="0" fontId="28" fillId="12" borderId="24" xfId="0" applyFont="1" applyFill="1" applyBorder="1" applyAlignment="1">
      <alignment horizontal="centerContinuous" vertical="center"/>
    </xf>
    <xf numFmtId="0" fontId="45" fillId="3" borderId="22" xfId="0" applyFont="1" applyFill="1" applyBorder="1" applyAlignment="1">
      <alignment horizontal="centerContinuous" vertical="center" wrapText="1"/>
    </xf>
    <xf numFmtId="0" fontId="28" fillId="3" borderId="23" xfId="0" applyFont="1" applyFill="1" applyBorder="1" applyAlignment="1">
      <alignment horizontal="centerContinuous" vertical="center"/>
    </xf>
    <xf numFmtId="0" fontId="28" fillId="3" borderId="24" xfId="0" applyFont="1" applyFill="1" applyBorder="1" applyAlignment="1">
      <alignment horizontal="centerContinuous" vertical="center"/>
    </xf>
    <xf numFmtId="0" fontId="10" fillId="0" borderId="0" xfId="0" applyFont="1" applyAlignment="1">
      <alignment horizontal="centerContinuous" vertical="center"/>
    </xf>
    <xf numFmtId="0" fontId="52" fillId="10" borderId="0" xfId="5" applyFont="1" applyFill="1" applyAlignment="1">
      <alignment horizontal="center" vertical="center"/>
    </xf>
    <xf numFmtId="3" fontId="37" fillId="0" borderId="0" xfId="5" applyNumberFormat="1" applyAlignment="1">
      <alignment horizontal="centerContinuous" vertical="top"/>
    </xf>
    <xf numFmtId="166" fontId="37" fillId="0" borderId="0" xfId="5" applyNumberFormat="1" applyAlignment="1">
      <alignment vertical="center"/>
    </xf>
    <xf numFmtId="3" fontId="37" fillId="0" borderId="0" xfId="5" applyNumberFormat="1" applyAlignment="1">
      <alignment vertical="center"/>
    </xf>
    <xf numFmtId="0" fontId="50" fillId="0" borderId="0" xfId="13" applyFont="1" applyAlignment="1">
      <alignment horizontal="centerContinuous" vertical="center"/>
    </xf>
    <xf numFmtId="0" fontId="10" fillId="0" borderId="0" xfId="13" applyAlignment="1">
      <alignment horizontal="centerContinuous" vertical="center"/>
    </xf>
    <xf numFmtId="0" fontId="10" fillId="0" borderId="0" xfId="13" applyAlignment="1">
      <alignment vertical="center"/>
    </xf>
    <xf numFmtId="0" fontId="10" fillId="0" borderId="0" xfId="13" applyAlignment="1">
      <alignment horizontal="centerContinuous" vertical="center" wrapText="1"/>
    </xf>
    <xf numFmtId="0" fontId="10" fillId="0" borderId="0" xfId="13" applyAlignment="1">
      <alignment horizontal="center" vertical="center"/>
    </xf>
    <xf numFmtId="167" fontId="28" fillId="11" borderId="51" xfId="6" applyNumberFormat="1" applyFont="1" applyFill="1" applyBorder="1" applyAlignment="1">
      <alignment horizontal="center" vertical="center" wrapText="1"/>
    </xf>
    <xf numFmtId="167" fontId="28" fillId="11" borderId="52" xfId="6" applyNumberFormat="1" applyFont="1" applyFill="1" applyBorder="1" applyAlignment="1">
      <alignment horizontal="center" vertical="center" wrapText="1"/>
    </xf>
    <xf numFmtId="167" fontId="28" fillId="11" borderId="53" xfId="6" applyNumberFormat="1" applyFont="1" applyFill="1" applyBorder="1" applyAlignment="1">
      <alignment horizontal="center" vertical="center" wrapText="1"/>
    </xf>
    <xf numFmtId="167" fontId="28" fillId="11" borderId="54" xfId="6" applyNumberFormat="1" applyFont="1" applyFill="1" applyBorder="1" applyAlignment="1">
      <alignment horizontal="center" vertical="center" wrapText="1"/>
    </xf>
    <xf numFmtId="0" fontId="4" fillId="0" borderId="0" xfId="3" applyFont="1" applyAlignment="1">
      <alignment vertical="center"/>
    </xf>
    <xf numFmtId="0" fontId="3" fillId="0" borderId="0" xfId="3" applyFont="1" applyAlignment="1">
      <alignmen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5" fillId="0" borderId="0" xfId="13" applyFont="1" applyAlignment="1">
      <alignment horizontal="centerContinuous" vertical="center" wrapText="1"/>
    </xf>
    <xf numFmtId="0" fontId="10" fillId="0" borderId="10" xfId="0" applyFont="1" applyBorder="1" applyAlignment="1">
      <alignment horizontal="center" vertical="center" wrapText="1"/>
    </xf>
    <xf numFmtId="0" fontId="28" fillId="11" borderId="0" xfId="0" applyFont="1" applyFill="1" applyAlignment="1">
      <alignment horizontal="left" vertical="center"/>
    </xf>
    <xf numFmtId="3" fontId="28" fillId="11" borderId="0" xfId="0" applyNumberFormat="1" applyFont="1" applyFill="1" applyAlignment="1">
      <alignment horizontal="center" vertical="center"/>
    </xf>
    <xf numFmtId="0" fontId="28" fillId="0" borderId="72" xfId="0" applyFont="1" applyBorder="1" applyAlignment="1">
      <alignment horizontal="left" vertical="center"/>
    </xf>
    <xf numFmtId="3" fontId="28" fillId="0" borderId="72" xfId="0" applyNumberFormat="1" applyFont="1" applyBorder="1" applyAlignment="1">
      <alignment horizontal="center" vertical="center"/>
    </xf>
    <xf numFmtId="0" fontId="28" fillId="0" borderId="73" xfId="0" applyFont="1" applyBorder="1" applyAlignment="1">
      <alignment horizontal="left" vertical="center"/>
    </xf>
    <xf numFmtId="3" fontId="28" fillId="0" borderId="73" xfId="0" applyNumberFormat="1" applyFont="1" applyBorder="1" applyAlignment="1">
      <alignment horizontal="center" vertical="center"/>
    </xf>
    <xf numFmtId="0" fontId="28" fillId="0" borderId="0" xfId="0" applyFont="1" applyAlignment="1">
      <alignment horizontal="left" vertical="center"/>
    </xf>
    <xf numFmtId="3" fontId="28" fillId="0" borderId="0" xfId="0" applyNumberFormat="1" applyFont="1" applyAlignment="1">
      <alignment horizontal="center" vertical="center"/>
    </xf>
    <xf numFmtId="3" fontId="28" fillId="0" borderId="74" xfId="0" applyNumberFormat="1" applyFont="1" applyBorder="1" applyAlignment="1">
      <alignment horizontal="center" vertical="center"/>
    </xf>
    <xf numFmtId="3" fontId="28" fillId="0" borderId="75" xfId="0" applyNumberFormat="1" applyFont="1" applyBorder="1" applyAlignment="1">
      <alignment horizontal="center" vertical="center"/>
    </xf>
    <xf numFmtId="3" fontId="28" fillId="0" borderId="76" xfId="0" applyNumberFormat="1" applyFont="1" applyBorder="1" applyAlignment="1">
      <alignment horizontal="center" vertical="center"/>
    </xf>
    <xf numFmtId="0" fontId="10" fillId="0" borderId="0" xfId="13" applyFont="1" applyAlignment="1">
      <alignment horizontal="center" vertical="center" wrapText="1"/>
    </xf>
    <xf numFmtId="3" fontId="10" fillId="0" borderId="0" xfId="13" applyNumberFormat="1" applyAlignment="1">
      <alignment vertical="center"/>
    </xf>
    <xf numFmtId="3" fontId="14" fillId="0" borderId="0" xfId="13" applyNumberFormat="1" applyFont="1" applyAlignment="1">
      <alignment vertical="center"/>
    </xf>
    <xf numFmtId="0" fontId="37" fillId="0" borderId="0" xfId="5" applyAlignment="1">
      <alignment horizontal="left" vertical="center"/>
    </xf>
    <xf numFmtId="3" fontId="37" fillId="0" borderId="0" xfId="5" applyNumberFormat="1" applyAlignment="1">
      <alignment horizontal="center" vertical="center"/>
    </xf>
    <xf numFmtId="0" fontId="2" fillId="0" borderId="0" xfId="3" applyFont="1" applyAlignment="1">
      <alignment vertical="center"/>
    </xf>
    <xf numFmtId="3" fontId="40" fillId="0" borderId="0" xfId="5" applyNumberFormat="1" applyFont="1" applyAlignment="1">
      <alignment horizontal="center" vertical="center"/>
    </xf>
    <xf numFmtId="3" fontId="10" fillId="0" borderId="0" xfId="13" applyNumberFormat="1" applyFont="1" applyAlignment="1">
      <alignment vertical="center"/>
    </xf>
    <xf numFmtId="0" fontId="10" fillId="0" borderId="0" xfId="13" applyFont="1" applyAlignment="1">
      <alignment vertical="center"/>
    </xf>
    <xf numFmtId="0" fontId="14" fillId="4" borderId="28" xfId="0" applyFont="1" applyFill="1" applyBorder="1" applyAlignment="1">
      <alignment horizontal="center" vertical="center"/>
    </xf>
    <xf numFmtId="49" fontId="23" fillId="10" borderId="0" xfId="5" applyNumberFormat="1" applyFont="1" applyFill="1" applyAlignment="1">
      <alignment horizontal="center" vertical="center"/>
    </xf>
    <xf numFmtId="0" fontId="54" fillId="13" borderId="80" xfId="5" applyFont="1" applyFill="1" applyBorder="1" applyAlignment="1">
      <alignment horizontal="centerContinuous" vertical="center"/>
    </xf>
    <xf numFmtId="0" fontId="23" fillId="13" borderId="81" xfId="5" applyFont="1" applyFill="1" applyBorder="1" applyAlignment="1">
      <alignment horizontal="centerContinuous" vertical="center"/>
    </xf>
    <xf numFmtId="0" fontId="37" fillId="11" borderId="45" xfId="5" applyFill="1" applyBorder="1" applyAlignment="1">
      <alignment horizontal="center" vertical="center" wrapText="1"/>
    </xf>
    <xf numFmtId="0" fontId="37" fillId="11" borderId="46" xfId="5" applyFill="1" applyBorder="1" applyAlignment="1">
      <alignment horizontal="center" vertical="center" wrapText="1"/>
    </xf>
    <xf numFmtId="0" fontId="37" fillId="11" borderId="47" xfId="5" applyFill="1" applyBorder="1" applyAlignment="1">
      <alignment horizontal="center" vertical="center" wrapText="1"/>
    </xf>
    <xf numFmtId="0" fontId="37" fillId="11" borderId="48" xfId="5" applyFill="1" applyBorder="1" applyAlignment="1">
      <alignment horizontal="center" vertical="center" wrapText="1"/>
    </xf>
    <xf numFmtId="0" fontId="37" fillId="11" borderId="49" xfId="5" applyFill="1" applyBorder="1" applyAlignment="1">
      <alignment horizontal="center" vertical="center" wrapText="1"/>
    </xf>
    <xf numFmtId="0" fontId="37" fillId="11" borderId="50" xfId="5" applyFill="1" applyBorder="1" applyAlignment="1">
      <alignment horizontal="center" vertical="center" wrapText="1"/>
    </xf>
    <xf numFmtId="3" fontId="42" fillId="0" borderId="0" xfId="5" applyNumberFormat="1" applyFont="1" applyAlignment="1">
      <alignment vertical="center"/>
    </xf>
    <xf numFmtId="0" fontId="10" fillId="0" borderId="0" xfId="13" applyAlignment="1">
      <alignment horizontal="center" vertical="center" wrapText="1"/>
    </xf>
    <xf numFmtId="0" fontId="57" fillId="0" borderId="0" xfId="13" applyFont="1" applyAlignment="1">
      <alignment vertical="center"/>
    </xf>
    <xf numFmtId="0" fontId="28" fillId="0" borderId="77" xfId="0" applyFont="1" applyBorder="1" applyAlignment="1">
      <alignment horizontal="left" vertical="center"/>
    </xf>
    <xf numFmtId="3" fontId="28" fillId="0" borderId="77" xfId="0" applyNumberFormat="1" applyFont="1" applyBorder="1" applyAlignment="1">
      <alignment horizontal="center" vertical="center"/>
    </xf>
    <xf numFmtId="0" fontId="28" fillId="0" borderId="78" xfId="0" applyFont="1" applyBorder="1" applyAlignment="1">
      <alignment horizontal="left" vertical="center"/>
    </xf>
    <xf numFmtId="3" fontId="28" fillId="0" borderId="78" xfId="0" applyNumberFormat="1" applyFont="1" applyBorder="1" applyAlignment="1">
      <alignment horizontal="center"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76" xfId="0" applyFont="1" applyBorder="1" applyAlignment="1">
      <alignment horizontal="left" vertical="center"/>
    </xf>
    <xf numFmtId="0" fontId="28" fillId="0" borderId="79" xfId="0" applyFont="1" applyBorder="1" applyAlignment="1">
      <alignment horizontal="left" vertical="center"/>
    </xf>
    <xf numFmtId="3" fontId="28" fillId="0" borderId="79" xfId="0" applyNumberFormat="1" applyFont="1" applyBorder="1" applyAlignment="1">
      <alignment horizontal="center" vertical="center"/>
    </xf>
    <xf numFmtId="0" fontId="58" fillId="0" borderId="0" xfId="13" applyFont="1" applyAlignment="1">
      <alignment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3" fontId="59" fillId="11" borderId="0" xfId="0" applyNumberFormat="1" applyFont="1" applyFill="1" applyAlignment="1">
      <alignment horizontal="center" vertical="center"/>
    </xf>
    <xf numFmtId="3" fontId="59" fillId="0" borderId="77" xfId="0" applyNumberFormat="1" applyFont="1" applyBorder="1" applyAlignment="1">
      <alignment horizontal="center" vertical="center"/>
    </xf>
    <xf numFmtId="3" fontId="59" fillId="0" borderId="78" xfId="0" applyNumberFormat="1" applyFont="1" applyBorder="1" applyAlignment="1">
      <alignment horizontal="center" vertical="center"/>
    </xf>
    <xf numFmtId="3" fontId="59" fillId="0" borderId="0" xfId="0" applyNumberFormat="1" applyFont="1" applyAlignment="1">
      <alignment horizontal="center" vertical="center"/>
    </xf>
    <xf numFmtId="3" fontId="59" fillId="0" borderId="72" xfId="0" applyNumberFormat="1" applyFont="1" applyBorder="1" applyAlignment="1">
      <alignment horizontal="center" vertical="center"/>
    </xf>
    <xf numFmtId="3" fontId="59" fillId="0" borderId="73" xfId="0" applyNumberFormat="1" applyFont="1" applyBorder="1" applyAlignment="1">
      <alignment horizontal="center" vertical="center"/>
    </xf>
    <xf numFmtId="3" fontId="59" fillId="0" borderId="79" xfId="0" applyNumberFormat="1" applyFont="1" applyBorder="1" applyAlignment="1">
      <alignment horizontal="center" vertical="center"/>
    </xf>
    <xf numFmtId="3" fontId="59" fillId="0" borderId="75" xfId="0" applyNumberFormat="1" applyFont="1" applyBorder="1" applyAlignment="1">
      <alignment horizontal="center" vertical="center"/>
    </xf>
    <xf numFmtId="3" fontId="59" fillId="0" borderId="76" xfId="0" applyNumberFormat="1" applyFont="1" applyBorder="1" applyAlignment="1">
      <alignment horizontal="center" vertical="center"/>
    </xf>
    <xf numFmtId="0" fontId="59" fillId="11" borderId="0" xfId="0" applyFont="1" applyFill="1" applyAlignment="1">
      <alignment horizontal="left" vertical="center"/>
    </xf>
    <xf numFmtId="0" fontId="59" fillId="0" borderId="0" xfId="0" applyFont="1" applyAlignment="1">
      <alignment horizontal="left" vertical="center"/>
    </xf>
    <xf numFmtId="0" fontId="59" fillId="0" borderId="77" xfId="0" applyFont="1" applyBorder="1" applyAlignment="1">
      <alignment horizontal="left" vertical="center"/>
    </xf>
    <xf numFmtId="0" fontId="59" fillId="0" borderId="78" xfId="0" applyFont="1" applyBorder="1" applyAlignment="1">
      <alignment horizontal="left" vertical="center"/>
    </xf>
    <xf numFmtId="0" fontId="59" fillId="0" borderId="72" xfId="0" applyFont="1" applyBorder="1" applyAlignment="1">
      <alignment horizontal="left" vertical="center"/>
    </xf>
    <xf numFmtId="0" fontId="59" fillId="0" borderId="73" xfId="0" applyFont="1" applyBorder="1" applyAlignment="1">
      <alignment horizontal="left" vertical="center"/>
    </xf>
    <xf numFmtId="0" fontId="59" fillId="0" borderId="79" xfId="0" applyFont="1" applyBorder="1" applyAlignment="1">
      <alignment horizontal="left" vertical="center"/>
    </xf>
    <xf numFmtId="0" fontId="59" fillId="0" borderId="75" xfId="0" applyFont="1" applyBorder="1" applyAlignment="1">
      <alignment horizontal="left" vertical="center"/>
    </xf>
    <xf numFmtId="0" fontId="59" fillId="0" borderId="76" xfId="0" applyFont="1" applyBorder="1" applyAlignment="1">
      <alignment horizontal="left" vertical="center"/>
    </xf>
    <xf numFmtId="0" fontId="16" fillId="0" borderId="16"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164" fontId="16" fillId="0" borderId="16" xfId="0" applyNumberFormat="1" applyFont="1" applyBorder="1" applyAlignment="1" applyProtection="1">
      <alignment horizontal="center" vertical="center" wrapText="1"/>
      <protection locked="0"/>
    </xf>
    <xf numFmtId="164" fontId="16" fillId="0" borderId="17" xfId="0" applyNumberFormat="1" applyFont="1" applyBorder="1" applyAlignment="1" applyProtection="1">
      <alignment horizontal="center" vertical="center" wrapText="1"/>
      <protection locked="0"/>
    </xf>
    <xf numFmtId="164" fontId="16" fillId="0" borderId="18" xfId="0" applyNumberFormat="1" applyFont="1" applyBorder="1" applyAlignment="1" applyProtection="1">
      <alignment horizontal="center" vertical="center" wrapText="1"/>
      <protection locked="0"/>
    </xf>
    <xf numFmtId="1" fontId="21" fillId="2" borderId="16" xfId="0" applyNumberFormat="1" applyFont="1" applyFill="1" applyBorder="1" applyAlignment="1" applyProtection="1">
      <alignment horizontal="center" vertical="center"/>
      <protection locked="0"/>
    </xf>
    <xf numFmtId="1" fontId="21" fillId="2" borderId="17" xfId="0" applyNumberFormat="1" applyFont="1" applyFill="1" applyBorder="1" applyAlignment="1" applyProtection="1">
      <alignment horizontal="center" vertical="center"/>
      <protection locked="0"/>
    </xf>
    <xf numFmtId="1" fontId="21" fillId="2" borderId="18" xfId="0" applyNumberFormat="1" applyFont="1" applyFill="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0" fontId="28" fillId="0" borderId="0" xfId="0" applyFont="1" applyAlignment="1">
      <alignment horizontal="justify" vertical="top" wrapText="1"/>
    </xf>
    <xf numFmtId="0" fontId="14" fillId="0" borderId="0" xfId="0" applyFont="1" applyAlignment="1">
      <alignment horizontal="center" vertical="center" wrapText="1"/>
    </xf>
    <xf numFmtId="0" fontId="37" fillId="0" borderId="0" xfId="5" applyAlignment="1">
      <alignment vertical="center" wrapText="1"/>
    </xf>
    <xf numFmtId="0" fontId="37" fillId="0" borderId="0" xfId="5" applyFont="1" applyAlignment="1">
      <alignment vertical="center" wrapText="1"/>
    </xf>
    <xf numFmtId="0" fontId="51" fillId="0" borderId="0" xfId="5" applyFont="1" applyAlignment="1">
      <alignment vertical="center" wrapText="1"/>
    </xf>
    <xf numFmtId="0" fontId="39" fillId="0" borderId="0" xfId="5" applyFont="1" applyAlignment="1">
      <alignment vertical="center" wrapText="1"/>
    </xf>
    <xf numFmtId="0" fontId="37" fillId="0" borderId="0" xfId="5" applyFont="1" applyAlignment="1">
      <alignment horizontal="justify" vertical="center" wrapText="1"/>
    </xf>
    <xf numFmtId="0" fontId="37" fillId="0" borderId="0" xfId="5" applyAlignment="1">
      <alignment horizontal="justify" vertical="center" wrapText="1"/>
    </xf>
  </cellXfs>
  <cellStyles count="16">
    <cellStyle name="Comma 2" xfId="6" xr:uid="{00000000-0005-0000-0000-000000000000}"/>
    <cellStyle name="Normal" xfId="0" builtinId="0"/>
    <cellStyle name="Normal 2" xfId="1" xr:uid="{00000000-0005-0000-0000-000002000000}"/>
    <cellStyle name="Normal 2 2" xfId="14" xr:uid="{00000000-0005-0000-0000-000003000000}"/>
    <cellStyle name="Normal 3" xfId="3" xr:uid="{00000000-0005-0000-0000-000004000000}"/>
    <cellStyle name="Normal 4" xfId="5" xr:uid="{00000000-0005-0000-0000-000005000000}"/>
    <cellStyle name="Normal 5" xfId="8" xr:uid="{00000000-0005-0000-0000-000006000000}"/>
    <cellStyle name="Normal 6" xfId="9" xr:uid="{00000000-0005-0000-0000-000007000000}"/>
    <cellStyle name="Normal 6 2" xfId="15" xr:uid="{00000000-0005-0000-0000-000008000000}"/>
    <cellStyle name="Normal 7" xfId="10" xr:uid="{00000000-0005-0000-0000-000009000000}"/>
    <cellStyle name="Normal 7 2" xfId="11" xr:uid="{00000000-0005-0000-0000-00000A000000}"/>
    <cellStyle name="Normal 7 2 2" xfId="13" xr:uid="{00000000-0005-0000-0000-00000B000000}"/>
    <cellStyle name="Normal 7 3" xfId="12" xr:uid="{00000000-0005-0000-0000-00000C000000}"/>
    <cellStyle name="Percent" xfId="2" builtinId="5"/>
    <cellStyle name="Percent 2" xfId="4" xr:uid="{00000000-0005-0000-0000-00000E000000}"/>
    <cellStyle name="Percent 3" xfId="7" xr:uid="{00000000-0005-0000-0000-00000F000000}"/>
  </cellStyles>
  <dxfs count="11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4506668294322"/>
        </bottom>
        <horizontal style="thin">
          <color theme="8" tint="0.39994506668294322"/>
        </horizontal>
      </border>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1" defaultTableStyle="TableStyleMedium9" defaultPivotStyle="PivotTable Style 1">
    <tableStyle name="PivotTable Style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pivotCacheDefinition" Target="pivotCache/pivotCacheDefinition4.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1.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pivotCacheDefinition" Target="pivotCache/pivotCacheDefinition5.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pivotCacheDefinition" Target="pivotCache/pivotCacheDefinition3.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xdr:col>
      <xdr:colOff>295275</xdr:colOff>
      <xdr:row>17</xdr:row>
      <xdr:rowOff>95249</xdr:rowOff>
    </xdr:from>
    <xdr:to>
      <xdr:col>10</xdr:col>
      <xdr:colOff>876300</xdr:colOff>
      <xdr:row>50</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24075" y="5133974"/>
          <a:ext cx="7162800" cy="535305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rPr>
            <a:t>Use This Report Template For SFY2021 Quarterly Reports.  </a:t>
          </a:r>
        </a:p>
        <a:p>
          <a:pPr algn="ctr"/>
          <a:r>
            <a:rPr lang="en-US" sz="1200" b="1">
              <a:solidFill>
                <a:schemeClr val="tx2"/>
              </a:solidFill>
            </a:rPr>
            <a:t>It May</a:t>
          </a:r>
          <a:r>
            <a:rPr lang="en-US" sz="1200" b="1" baseline="0">
              <a:solidFill>
                <a:schemeClr val="tx2"/>
              </a:solidFill>
            </a:rPr>
            <a:t> Also Be Used For the SFY2022 </a:t>
          </a:r>
          <a:r>
            <a:rPr kumimoji="0" lang="en-US" sz="1200" b="1" i="0" u="none" strike="noStrike" kern="0" cap="none" spc="0" normalizeH="0" baseline="0" noProof="0">
              <a:ln>
                <a:noFill/>
              </a:ln>
              <a:solidFill>
                <a:srgbClr val="3333FF"/>
              </a:solidFill>
              <a:effectLst/>
              <a:uLnTx/>
              <a:uFillTx/>
              <a:latin typeface="+mn-lt"/>
              <a:ea typeface="+mn-ea"/>
              <a:cs typeface="+mn-cs"/>
            </a:rPr>
            <a:t>1st Quarter </a:t>
          </a:r>
          <a:r>
            <a:rPr lang="en-US" sz="1200" b="1" baseline="0">
              <a:solidFill>
                <a:schemeClr val="tx2"/>
              </a:solidFill>
            </a:rPr>
            <a:t>Report.</a:t>
          </a:r>
          <a:endParaRPr lang="en-US" sz="1200" b="1">
            <a:solidFill>
              <a:schemeClr val="tx2"/>
            </a:solidFill>
          </a:endParaRPr>
        </a:p>
        <a:p>
          <a:endParaRPr lang="en-US" sz="1100" b="1"/>
        </a:p>
        <a:p>
          <a:r>
            <a:rPr lang="en-US" sz="1100"/>
            <a:t>This</a:t>
          </a:r>
          <a:r>
            <a:rPr lang="en-US" sz="1100" baseline="0"/>
            <a:t> report template includes all DMH/DD/SAS measures in Part II of the Combined DHB and DMH/DD/SAS Performance Measures Guidelines.</a:t>
          </a:r>
        </a:p>
        <a:p>
          <a:endParaRPr lang="en-US" sz="1100" baseline="0"/>
        </a:p>
        <a:p>
          <a:r>
            <a:rPr lang="en-US" sz="1100" baseline="0"/>
            <a:t>LME-MCOs are requested to </a:t>
          </a:r>
          <a:r>
            <a:rPr lang="en-US" sz="1100" b="1" baseline="0"/>
            <a:t>submit data each quarter for the measures listed in the "Report Schedule (2)" worksheet</a:t>
          </a:r>
          <a:r>
            <a:rPr lang="en-US" sz="1100" baseline="0"/>
            <a:t> towards the end of this workbook.</a:t>
          </a:r>
        </a:p>
        <a:p>
          <a:endParaRPr lang="en-US" sz="1100" baseline="0"/>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revises the prior report template (dated 8/22/19) as follows: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list of LME-MCOs in the drop-down list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note:  Due to claims lag, the </a:t>
          </a:r>
          <a:r>
            <a:rPr kumimoji="0" lang="en-US" sz="1100" b="1" i="0" u="none" strike="noStrike" kern="0" cap="none" spc="0" normalizeH="0" baseline="0" noProof="0">
              <a:ln>
                <a:noFill/>
              </a:ln>
              <a:solidFill>
                <a:prstClr val="black"/>
              </a:solidFill>
              <a:effectLst/>
              <a:uLnTx/>
              <a:uFillTx/>
              <a:latin typeface="+mn-lt"/>
              <a:ea typeface="+mn-ea"/>
              <a:cs typeface="+mn-cs"/>
            </a:rPr>
            <a:t>measurement period </a:t>
          </a:r>
          <a:r>
            <a:rPr kumimoji="0" lang="en-US" sz="1100" b="0" i="0" u="none" strike="noStrike" kern="0" cap="none" spc="0" normalizeH="0" baseline="0" noProof="0">
              <a:ln>
                <a:noFill/>
              </a:ln>
              <a:solidFill>
                <a:prstClr val="black"/>
              </a:solidFill>
              <a:effectLst/>
              <a:uLnTx/>
              <a:uFillTx/>
              <a:latin typeface="+mn-lt"/>
              <a:ea typeface="+mn-ea"/>
              <a:cs typeface="+mn-cs"/>
            </a:rPr>
            <a:t>covers the period one quarter prior to the </a:t>
          </a:r>
          <a:r>
            <a:rPr kumimoji="0" lang="en-US" sz="1100" b="1" i="0" u="none" strike="noStrike" kern="0" cap="none" spc="0" normalizeH="0" baseline="0" noProof="0">
              <a:ln>
                <a:noFill/>
              </a:ln>
              <a:solidFill>
                <a:prstClr val="black"/>
              </a:solidFill>
              <a:effectLst/>
              <a:uLnTx/>
              <a:uFillTx/>
              <a:latin typeface="+mn-lt"/>
              <a:ea typeface="+mn-ea"/>
              <a:cs typeface="+mn-cs"/>
            </a:rPr>
            <a:t>Report Quarter </a:t>
          </a:r>
          <a:r>
            <a:rPr kumimoji="0" lang="en-US" sz="1100" b="0" i="0" u="none" strike="noStrike" kern="0" cap="none" spc="0" normalizeH="0" baseline="0" noProof="0">
              <a:ln>
                <a:noFill/>
              </a:ln>
              <a:solidFill>
                <a:prstClr val="black"/>
              </a:solidFill>
              <a:effectLst/>
              <a:uLnTx/>
              <a:uFillTx/>
              <a:latin typeface="+mn-lt"/>
              <a:ea typeface="+mn-ea"/>
              <a:cs typeface="+mn-cs"/>
            </a:rPr>
            <a:t>shown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For example, the SFY2021 1st Quarter Report covers events that occurred during the SFY2020 4th Quarter.  The SFY2021 2nd Quarter Report covers events that occurred during the SFY2021 1st Quarter, and so on.</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Performance measures that include county-level data use the LME-MCO name entered in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 </a:t>
          </a:r>
          <a:r>
            <a:rPr kumimoji="0" lang="en-US" sz="1100" b="0" i="0" u="none" strike="noStrike" kern="0" cap="none" spc="0" normalizeH="0" baseline="0" noProof="0">
              <a:ln>
                <a:noFill/>
              </a:ln>
              <a:solidFill>
                <a:prstClr val="black"/>
              </a:solidFill>
              <a:effectLst/>
              <a:uLnTx/>
              <a:uFillTx/>
              <a:latin typeface="+mn-lt"/>
              <a:ea typeface="+mn-ea"/>
              <a:cs typeface="+mn-cs"/>
            </a:rPr>
            <a:t>to autopopulate county names.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prior year's report template, two LME-MCOs were listed twice in the drop-down list because one county realigned from one LME-MCO to the other LME-MCO at the beginning of that SFY.  </a:t>
          </a:r>
          <a:r>
            <a:rPr lang="en-US" sz="1100" b="0" i="0" baseline="0">
              <a:solidFill>
                <a:schemeClr val="dk1"/>
              </a:solidFill>
              <a:effectLst/>
              <a:latin typeface="+mn-lt"/>
              <a:ea typeface="+mn-ea"/>
              <a:cs typeface="+mn-cs"/>
            </a:rPr>
            <a:t>One listing was used for the 1st Quarter report, and the second listing was used for all remaining quarters. The listing selected caused lookup formulas that auto-populated county names to generate the correct county list for the respective time period. In SFY2021, the county configurations did not change from the prior year.  Therefore all LME-MCOs are listed only once in the drop-down list.</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two worksheets (Uninsured By County SFY2021 and Pivot Table- Uninsured SFY2021) with uninsured estimates for SFY2021.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lookup formulas for Performance Measure 3.2 to enter SFY2021 estimated uninsured numbers for SFY2021 reports and SFY2020 estimated uninsured numbers for SFY2020 reports.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114300</xdr:rowOff>
    </xdr:to>
    <xdr:sp macro="" textlink="">
      <xdr:nvSpPr>
        <xdr:cNvPr id="2" name="TextBox 1">
          <a:extLst>
            <a:ext uri="{FF2B5EF4-FFF2-40B4-BE49-F238E27FC236}">
              <a16:creationId xmlns:a16="http://schemas.microsoft.com/office/drawing/2014/main" id="{00000000-0008-0000-2B00-000002000000}"/>
            </a:ext>
          </a:extLst>
        </xdr:cNvPr>
        <xdr:cNvSpPr txBox="1"/>
      </xdr:nvSpPr>
      <xdr:spPr>
        <a:xfrm>
          <a:off x="11801474" y="1552573"/>
          <a:ext cx="3257551" cy="39052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577E75BA-949E-4E9A-87EA-404F2A914E68}"/>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4223B4F3-75B4-4245-8D60-36858A4E8A83}"/>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40,641.</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202407</xdr:colOff>
      <xdr:row>2</xdr:row>
      <xdr:rowOff>250042</xdr:rowOff>
    </xdr:from>
    <xdr:to>
      <xdr:col>23</xdr:col>
      <xdr:colOff>631032</xdr:colOff>
      <xdr:row>4</xdr:row>
      <xdr:rowOff>178602</xdr:rowOff>
    </xdr:to>
    <xdr:sp macro="" textlink="">
      <xdr:nvSpPr>
        <xdr:cNvPr id="2" name="TextBox 1">
          <a:extLst>
            <a:ext uri="{FF2B5EF4-FFF2-40B4-BE49-F238E27FC236}">
              <a16:creationId xmlns:a16="http://schemas.microsoft.com/office/drawing/2014/main" id="{34DD591A-2CD5-4D43-90C7-ACE9E8EEA677}"/>
            </a:ext>
          </a:extLst>
        </xdr:cNvPr>
        <xdr:cNvSpPr txBox="1"/>
      </xdr:nvSpPr>
      <xdr:spPr>
        <a:xfrm>
          <a:off x="21814632" y="792967"/>
          <a:ext cx="2533650" cy="49053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SFY2021 data 6/1/20.</a:t>
          </a:r>
        </a:p>
      </xdr:txBody>
    </xdr:sp>
    <xdr:clientData/>
  </xdr:twoCellAnchor>
  <xdr:twoCellAnchor>
    <xdr:from>
      <xdr:col>20</xdr:col>
      <xdr:colOff>0</xdr:colOff>
      <xdr:row>1</xdr:row>
      <xdr:rowOff>0</xdr:rowOff>
    </xdr:from>
    <xdr:to>
      <xdr:col>23</xdr:col>
      <xdr:colOff>595312</xdr:colOff>
      <xdr:row>2</xdr:row>
      <xdr:rowOff>119063</xdr:rowOff>
    </xdr:to>
    <xdr:sp macro="" textlink="">
      <xdr:nvSpPr>
        <xdr:cNvPr id="3" name="Callout: Left Arrow 2">
          <a:extLst>
            <a:ext uri="{FF2B5EF4-FFF2-40B4-BE49-F238E27FC236}">
              <a16:creationId xmlns:a16="http://schemas.microsoft.com/office/drawing/2014/main" id="{78B0646C-399E-45AB-AB00-C8598974276B}"/>
            </a:ext>
          </a:extLst>
        </xdr:cNvPr>
        <xdr:cNvSpPr/>
      </xdr:nvSpPr>
      <xdr:spPr>
        <a:xfrm>
          <a:off x="21612225" y="314325"/>
          <a:ext cx="2700337" cy="347663"/>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in the title.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BFF26FC4-18AD-4AB7-A0B2-C08879583B54}"/>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36,933.</a:t>
          </a:r>
          <a:endParaRPr lang="en-US" sz="1100"/>
        </a:p>
      </xdr:txBody>
    </xdr:sp>
    <xdr:clientData/>
  </xdr:twoCellAnchor>
  <xdr:twoCellAnchor>
    <xdr:from>
      <xdr:col>9</xdr:col>
      <xdr:colOff>202407</xdr:colOff>
      <xdr:row>1</xdr:row>
      <xdr:rowOff>247660</xdr:rowOff>
    </xdr:from>
    <xdr:to>
      <xdr:col>13</xdr:col>
      <xdr:colOff>7145</xdr:colOff>
      <xdr:row>3</xdr:row>
      <xdr:rowOff>250039</xdr:rowOff>
    </xdr:to>
    <xdr:sp macro="" textlink="">
      <xdr:nvSpPr>
        <xdr:cNvPr id="3" name="TextBox 2">
          <a:extLst>
            <a:ext uri="{FF2B5EF4-FFF2-40B4-BE49-F238E27FC236}">
              <a16:creationId xmlns:a16="http://schemas.microsoft.com/office/drawing/2014/main" id="{50EFFDDF-9852-4716-B4EE-E17601D8AE42}"/>
            </a:ext>
          </a:extLst>
        </xdr:cNvPr>
        <xdr:cNvSpPr txBox="1"/>
      </xdr:nvSpPr>
      <xdr:spPr>
        <a:xfrm>
          <a:off x="11603832" y="476260"/>
          <a:ext cx="2547938" cy="488154"/>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SFY2021 data 6/1/20.</a:t>
          </a:r>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98CA6322-62C1-4E90-93A0-AB8B9F099B08}"/>
            </a:ext>
          </a:extLst>
        </xdr:cNvPr>
        <xdr:cNvSpPr/>
      </xdr:nvSpPr>
      <xdr:spPr>
        <a:xfrm>
          <a:off x="11401425" y="0"/>
          <a:ext cx="2714625"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6C3020A4-FF80-484F-9EBF-9E2EC5466F1C}"/>
            </a:ext>
          </a:extLst>
        </xdr:cNvPr>
        <xdr:cNvSpPr/>
      </xdr:nvSpPr>
      <xdr:spPr>
        <a:xfrm>
          <a:off x="11401425" y="22764750"/>
          <a:ext cx="2714625"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2632.506213194443" createdVersion="5" refreshedVersion="5" minRefreshableVersion="3" recordCount="100" xr:uid="{00000000-000A-0000-FFFF-FFFF00000000}">
  <cacheSource type="worksheet">
    <worksheetSource ref="A5:S105" sheet="Uninsured By County SFY2017"/>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7">
      <sharedItems containsSemiMixedTypes="0" containsString="0" containsNumber="1" containsInteger="1" minValue="4141" maxValue="1054561"/>
    </cacheField>
    <cacheField name="Children _x000a_(Ages 0-2)" numFmtId="167">
      <sharedItems containsSemiMixedTypes="0" containsString="0" containsNumber="1" containsInteger="1" minValue="123" maxValue="42441"/>
    </cacheField>
    <cacheField name="Children _x000a_(Ages 3-17)" numFmtId="167">
      <sharedItems containsSemiMixedTypes="0" containsString="0" containsNumber="1" containsInteger="1" minValue="642" maxValue="212675"/>
    </cacheField>
    <cacheField name="Adults _x000a_(Ages 18-20)" numFmtId="167">
      <sharedItems containsSemiMixedTypes="0" containsString="0" containsNumber="1" containsInteger="1" minValue="106" maxValue="41630"/>
    </cacheField>
    <cacheField name="Adults _x000a_(Ages 21-64)" numFmtId="167">
      <sharedItems containsSemiMixedTypes="0" containsString="0" containsNumber="1" containsInteger="1" minValue="2474" maxValue="651596"/>
    </cacheField>
    <cacheField name="Adults _x000a_(Ages 65+)" numFmtId="167">
      <sharedItems containsSemiMixedTypes="0" containsString="0" containsNumber="1" containsInteger="1" minValue="796" maxValue="112229"/>
    </cacheField>
    <cacheField name="NonElderly Population (Ages 3-64)" numFmtId="167">
      <sharedItems containsSemiMixedTypes="0" containsString="0" containsNumber="1" containsInteger="1" minValue="3222" maxValue="899891"/>
    </cacheField>
    <cacheField name="Children_x000a_UnInsured_x000a_(Ages 0-18)" numFmtId="165">
      <sharedItems containsSemiMixedTypes="0" containsString="0" containsNumber="1" minValue="3.9E-2" maxValue="0.10199999999999999"/>
    </cacheField>
    <cacheField name="Adults_x000a_UnInsured_x000a_(Ages 18-64)" numFmtId="165">
      <sharedItems containsSemiMixedTypes="0" containsString="0" containsNumber="1" minValue="0.14400000000000002" maxValue="0.29299999999999998"/>
    </cacheField>
    <cacheField name="NonElderly_x000a_UnInsured_x000a_(Ages 0-64)" numFmtId="165">
      <sharedItems containsSemiMixedTypes="0" containsString="0" containsNumber="1" minValue="0.115" maxValue="0.23199999999999998"/>
    </cacheField>
    <cacheField name="Children _x000a_(Ages 0-2)2" numFmtId="37">
      <sharedItems containsSemiMixedTypes="0" containsString="0" containsNumber="1" minValue="11.968000000000002" maxValue="2206.9320000000002"/>
    </cacheField>
    <cacheField name="Children _x000a_(Ages 3-17)2" numFmtId="3">
      <sharedItems containsSemiMixedTypes="0" containsString="0" containsNumber="1" minValue="63.558" maxValue="11059.1"/>
    </cacheField>
    <cacheField name="Adults _x000a_(Ages 18-20)2" numFmtId="3">
      <sharedItems containsSemiMixedTypes="0" containsString="0" containsNumber="1" minValue="28.726000000000003" maxValue="6807.5479999999998"/>
    </cacheField>
    <cacheField name="NonElderly  Adults _x000a_(Ages 21-64)" numFmtId="3">
      <sharedItems containsSemiMixedTypes="0" containsString="0" containsNumber="1" minValue="670.45400000000006" maxValue="121848.452"/>
    </cacheField>
    <cacheField name="NonElderly Adults _x000a_(Ages 18-64)" numFmtId="3">
      <sharedItems containsSemiMixedTypes="0" containsString="0" containsNumber="1" minValue="699.18000000000006" maxValue="128656"/>
    </cacheField>
    <cacheField name="NonElderly UnInsured Population (Ages 3-64)" numFmtId="3">
      <sharedItems containsSemiMixedTypes="0" containsString="0" containsNumber="1" minValue="728.17200000000003" maxValue="134083.7589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428113426" createdVersion="6" refreshedVersion="6" minRefreshableVersion="3" recordCount="100" xr:uid="{4289F93B-C233-49EF-B944-589BE1D5FD68}">
  <cacheSource type="worksheet">
    <worksheetSource name="LME" sheet="Uninsured By County SFY2020"/>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0">
        <s v="Cardinal Innovations Healthcare Solutions"/>
        <s v="Vaya Health"/>
        <s v="Sandhills Center"/>
        <s v="Trillium Health Resources"/>
        <s v="Eastpointe"/>
        <s v="Partners Behavioral Health Management"/>
        <s v="Alliance Health"/>
        <s v="Smoky Mountain Center" u="1"/>
        <s v="CenterPoint Human Services" u="1"/>
        <s v="Alliance Behavioral Healthcare" u="1"/>
      </sharedItems>
    </cacheField>
    <cacheField name="Urban vs. Rural" numFmtId="0">
      <sharedItems/>
    </cacheField>
    <cacheField name="Total_x000a_Population" numFmtId="167">
      <sharedItems containsSemiMixedTypes="0" containsString="0" containsNumber="1" containsInteger="1" minValue="4311" maxValue="1115571"/>
    </cacheField>
    <cacheField name="Children _x000a_(Ages 0-2)" numFmtId="167">
      <sharedItems containsSemiMixedTypes="0" containsString="0" containsNumber="1" containsInteger="1" minValue="121" maxValue="44740"/>
    </cacheField>
    <cacheField name="Children _x000a_(Ages 3-17)" numFmtId="167">
      <sharedItems containsSemiMixedTypes="0" containsString="0" containsNumber="1" containsInteger="1" minValue="673" maxValue="218529"/>
    </cacheField>
    <cacheField name="Adults _x000a_(Ages 18-20)" numFmtId="167">
      <sharedItems containsSemiMixedTypes="0" containsString="0" containsNumber="1" containsInteger="1" minValue="130" maxValue="46459"/>
    </cacheField>
    <cacheField name="Adults _x000a_(Ages 21-64)" numFmtId="167">
      <sharedItems containsSemiMixedTypes="0" containsString="0" containsNumber="1" containsInteger="1" minValue="2506" maxValue="682224"/>
    </cacheField>
    <cacheField name="Adults _x000a_(Ages 65+)" numFmtId="167">
      <sharedItems containsSemiMixedTypes="0" containsString="0" containsNumber="1" containsInteger="1" minValue="868" maxValue="130416"/>
    </cacheField>
    <cacheField name="NonElderly Population (Ages 3-64)" numFmtId="167">
      <sharedItems containsSemiMixedTypes="0" containsString="0" containsNumber="1" containsInteger="1" minValue="3309" maxValue="941480"/>
    </cacheField>
    <cacheField name="Children_x000a_UnInsured_x000a_(Ages 0-18)" numFmtId="165">
      <sharedItems containsSemiMixedTypes="0" containsString="0" containsNumber="1" minValue="3.3000000000000002E-2" maxValue="0.08"/>
    </cacheField>
    <cacheField name="Adults_x000a_UnInsured_x000a_(Ages 18-64)" numFmtId="165">
      <sharedItems containsSemiMixedTypes="0" containsString="0" containsNumber="1" minValue="0.11199999999999999" maxValue="0.245"/>
    </cacheField>
    <cacheField name="NonElderly_x000a_UnInsured_x000a_(Ages 0-64)" numFmtId="165">
      <sharedItems containsSemiMixedTypes="0" containsString="0" containsNumber="1" minValue="8.8000000000000009E-2" maxValue="0.2"/>
    </cacheField>
    <cacheField name="Children _x000a_(Ages 0-2)2" numFmtId="37">
      <sharedItems containsSemiMixedTypes="0" containsString="0" containsNumber="1" minValue="8.3490000000000002" maxValue="2237"/>
    </cacheField>
    <cacheField name="Children _x000a_(Ages 3-17)2" numFmtId="3">
      <sharedItems containsSemiMixedTypes="0" containsString="0" containsNumber="1" minValue="45.764000000000003" maxValue="10926.45"/>
    </cacheField>
    <cacheField name="Adults _x000a_(Ages 18-20)2" numFmtId="3">
      <sharedItems containsSemiMixedTypes="0" containsString="0" containsNumber="1" minValue="27.169999999999998" maxValue="6394.1390000000001"/>
    </cacheField>
    <cacheField name="NonElderly  Adults _x000a_(Ages 21-64)" numFmtId="3">
      <sharedItems containsSemiMixedTypes="0" containsString="0" containsNumber="1" minValue="523.75400000000002" maxValue="107109.16800000001"/>
    </cacheField>
    <cacheField name="NonElderly Adults _x000a_(Ages 18-64)" numFmtId="3">
      <sharedItems containsSemiMixedTypes="0" containsString="0" containsNumber="1" minValue="550.92399999999998" maxValue="113503.307"/>
    </cacheField>
    <cacheField name="NonElderly UnInsured Population (Ages 3-64)" numFmtId="3">
      <sharedItems containsSemiMixedTypes="0" containsString="0" containsNumber="1" minValue="562.53000000000009" maxValue="119567.9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5673148148" createdVersion="6" refreshedVersion="6" minRefreshableVersion="3" recordCount="100" xr:uid="{89C680EB-F4AB-4015-80C4-191679BB9DB5}">
  <cacheSource type="worksheet">
    <worksheetSource name="LME" sheet="Uninsured By County SFY2019"/>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137" maxValue="1099382"/>
    </cacheField>
    <cacheField name="Children _x000a_(Ages 0-2)" numFmtId="167">
      <sharedItems containsSemiMixedTypes="0" containsString="0" containsNumber="1" containsInteger="1" minValue="133" maxValue="44903"/>
    </cacheField>
    <cacheField name="Children _x000a_(Ages 3-17)" numFmtId="167">
      <sharedItems containsSemiMixedTypes="0" containsString="0" containsNumber="1" containsInteger="1" minValue="632" maxValue="216890"/>
    </cacheField>
    <cacheField name="Adults _x000a_(Ages 18-20)" numFmtId="167">
      <sharedItems containsSemiMixedTypes="0" containsString="0" containsNumber="1" containsInteger="1" minValue="123" maxValue="44740"/>
    </cacheField>
    <cacheField name="Adults _x000a_(Ages 21-64)" numFmtId="167">
      <sharedItems containsSemiMixedTypes="0" containsString="0" containsNumber="1" containsInteger="1" minValue="2430" maxValue="674691"/>
    </cacheField>
    <cacheField name="Adults _x000a_(Ages 65+)" numFmtId="167">
      <sharedItems containsSemiMixedTypes="0" containsString="0" containsNumber="1" containsInteger="1" minValue="819" maxValue="123441"/>
    </cacheField>
    <cacheField name="NonElderly Population (Ages 3-64)" numFmtId="167">
      <sharedItems containsSemiMixedTypes="0" containsString="0" containsNumber="1" containsInteger="1" minValue="3185" maxValue="931038"/>
    </cacheField>
    <cacheField name="Children_x000a_UnInsured_x000a_(Ages 0-18)" numFmtId="165">
      <sharedItems containsSemiMixedTypes="0" containsString="0" containsNumber="1" minValue="3.1E-2" maxValue="7.8E-2"/>
    </cacheField>
    <cacheField name="Adults_x000a_UnInsured_x000a_(Ages 18-64)" numFmtId="165">
      <sharedItems containsSemiMixedTypes="0" containsString="0" containsNumber="1" minValue="0.113" maxValue="0.253"/>
    </cacheField>
    <cacheField name="NonElderly_x000a_UnInsured_x000a_(Ages 0-64)" numFmtId="165">
      <sharedItems containsSemiMixedTypes="0" containsString="0" containsNumber="1" minValue="9.1999999999999998E-2" maxValue="0.20100000000000001"/>
    </cacheField>
    <cacheField name="Children _x000a_(Ages 0-2)2" numFmtId="37">
      <sharedItems containsSemiMixedTypes="0" containsString="0" containsNumber="1" minValue="8.3699999999999992" maxValue="2379.8589999999999"/>
    </cacheField>
    <cacheField name="Children _x000a_(Ages 3-17)2" numFmtId="3">
      <sharedItems containsSemiMixedTypes="0" containsString="0" containsNumber="1" minValue="43.608000000000004" maxValue="11495.17"/>
    </cacheField>
    <cacheField name="Adults _x000a_(Ages 18-20)2" numFmtId="3">
      <sharedItems containsSemiMixedTypes="0" containsString="0" containsNumber="1" minValue="26.445" maxValue="5760.7219999999998"/>
    </cacheField>
    <cacheField name="NonElderly  Adults _x000a_(Ages 21-64)" numFmtId="3">
      <sharedItems containsSemiMixedTypes="0" containsString="0" containsNumber="1" minValue="522.45000000000005" maxValue="98504.885999999999"/>
    </cacheField>
    <cacheField name="NonElderly Adults _x000a_(Ages 18-64)" numFmtId="3">
      <sharedItems containsSemiMixedTypes="0" containsString="0" containsNumber="1" minValue="548.8950000000001" maxValue="104265.60799999999"/>
    </cacheField>
    <cacheField name="NonElderly UnInsured Population (Ages 3-64)" numFmtId="3">
      <sharedItems containsSemiMixedTypes="0" containsString="0" containsNumber="1" minValue="554.18999999999994" maxValue="112655.59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6556944444" createdVersion="6" refreshedVersion="6" minRefreshableVersion="3" recordCount="100" xr:uid="{141ADFB4-883F-47A3-8E63-4E50F7E4D686}">
  <cacheSource type="worksheet">
    <worksheetSource name="LME" sheet="Uninsured By County SFY2018"/>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215" maxValue="1077874"/>
    </cacheField>
    <cacheField name="Children _x000a_(Ages 0-2)" numFmtId="167">
      <sharedItems containsSemiMixedTypes="0" containsString="0" containsNumber="1" containsInteger="1" minValue="126" maxValue="44533"/>
    </cacheField>
    <cacheField name="Children _x000a_(Ages 3-17)" numFmtId="167">
      <sharedItems containsSemiMixedTypes="0" containsString="0" containsNumber="1" containsInteger="1" minValue="653" maxValue="214991"/>
    </cacheField>
    <cacheField name="Adults _x000a_(Ages 18-20)" numFmtId="167">
      <sharedItems containsSemiMixedTypes="0" containsString="0" containsNumber="1" containsInteger="1" minValue="112" maxValue="43308"/>
    </cacheField>
    <cacheField name="Adults _x000a_(Ages 21-64)" numFmtId="167">
      <sharedItems containsSemiMixedTypes="0" containsString="0" containsNumber="1" containsInteger="1" minValue="2503" maxValue="663223"/>
    </cacheField>
    <cacheField name="Adults _x000a_(Ages 65+)" numFmtId="167">
      <sharedItems containsSemiMixedTypes="0" containsString="0" containsNumber="1" containsInteger="1" minValue="821" maxValue="117793"/>
    </cacheField>
    <cacheField name="NonElderly Population (Ages 3-64)" numFmtId="167">
      <sharedItems containsSemiMixedTypes="0" containsString="0" containsNumber="1" containsInteger="1" minValue="3268" maxValue="915548"/>
    </cacheField>
    <cacheField name="Children_x000a_UnInsured_x000a_(Ages 0-18)" numFmtId="165">
      <sharedItems containsSemiMixedTypes="0" containsString="0" containsNumber="1" minValue="0.03" maxValue="8.6999999999999994E-2"/>
    </cacheField>
    <cacheField name="Adults_x000a_UnInsured_x000a_(Ages 18-64)" numFmtId="165">
      <sharedItems containsSemiMixedTypes="0" containsString="0" containsNumber="1" minValue="0.122" maxValue="0.27399999999999997"/>
    </cacheField>
    <cacheField name="NonElderly_x000a_UnInsured_x000a_(Ages 0-64)" numFmtId="165">
      <sharedItems containsSemiMixedTypes="0" containsString="0" containsNumber="1" minValue="9.6999999999999989E-2" maxValue="0.214"/>
    </cacheField>
    <cacheField name="Children _x000a_(Ages 0-2)2" numFmtId="37">
      <sharedItems containsSemiMixedTypes="0" containsString="0" containsNumber="1" minValue="7.0559999999999992" maxValue="1914.9189999999999"/>
    </cacheField>
    <cacheField name="Children _x000a_(Ages 3-17)2" numFmtId="3">
      <sharedItems containsSemiMixedTypes="0" containsString="0" containsNumber="1" minValue="36.567999999999998" maxValue="9221.1349999999984"/>
    </cacheField>
    <cacheField name="Adults _x000a_(Ages 18-20)2" numFmtId="3">
      <sharedItems containsSemiMixedTypes="0" containsString="0" containsNumber="1" minValue="18.256" maxValue="7622.2080000000005"/>
    </cacheField>
    <cacheField name="NonElderly  Adults _x000a_(Ages 21-64)" numFmtId="3">
      <sharedItems containsSemiMixedTypes="0" containsString="0" containsNumber="1" minValue="407.98900000000003" maxValue="112282.36800000002"/>
    </cacheField>
    <cacheField name="NonElderly Adults _x000a_(Ages 18-64)" numFmtId="3">
      <sharedItems containsSemiMixedTypes="0" containsString="0" containsNumber="1" minValue="426.245" maxValue="119904.57600000002"/>
    </cacheField>
    <cacheField name="NonElderly UnInsured Population (Ages 3-64)" numFmtId="3">
      <sharedItems containsSemiMixedTypes="0" containsString="0" containsNumber="1" minValue="447.71599999999995" maxValue="122788.5789999999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4019.8056005787" createdVersion="6" refreshedVersion="6" minRefreshableVersion="3" recordCount="100" xr:uid="{AA1853C2-BB2C-49B3-8557-6444027E421B}">
  <cacheSource type="worksheet">
    <worksheetSource name="LME" sheet="Uninsured By County SFY2021"/>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2">
        <s v="Cardinal Innovations Healthcare"/>
        <s v="Vaya Health"/>
        <s v="Sandhills Center"/>
        <s v="Trillium Health Resources"/>
        <s v="Eastpointe"/>
        <s v="Partners Health Management"/>
        <s v="Alliance Health"/>
        <s v="Smoky Mountain Center" u="1"/>
        <s v="CenterPoint Human Services" u="1"/>
        <s v="Cardinal Innovations Healthcare Solutions" u="1"/>
        <s v="Alliance Behavioral Healthcare" u="1"/>
        <s v="Partners Behavioral Health Management" u="1"/>
      </sharedItems>
    </cacheField>
    <cacheField name="Urban vs. Rural" numFmtId="0">
      <sharedItems/>
    </cacheField>
    <cacheField name="Total_x000a_Population" numFmtId="167">
      <sharedItems containsSemiMixedTypes="0" containsString="0" containsNumber="1" containsInteger="1" minValue="4260" maxValue="1131342"/>
    </cacheField>
    <cacheField name="Children _x000a_(Ages 0-2)" numFmtId="167">
      <sharedItems containsSemiMixedTypes="0" containsString="0" containsNumber="1" containsInteger="1" minValue="117" maxValue="44350"/>
    </cacheField>
    <cacheField name="Children _x000a_(Ages 3-17)" numFmtId="167">
      <sharedItems containsSemiMixedTypes="0" containsString="0" containsNumber="1" containsInteger="1" minValue="669" maxValue="219366"/>
    </cacheField>
    <cacheField name="Adults _x000a_(Ages 18-20)" numFmtId="167">
      <sharedItems containsSemiMixedTypes="0" containsString="0" containsNumber="1" containsInteger="1" minValue="123" maxValue="47425"/>
    </cacheField>
    <cacheField name="Adults _x000a_(Ages 21-64)" numFmtId="167">
      <sharedItems containsSemiMixedTypes="0" containsString="0" containsNumber="1" containsInteger="1" minValue="2459" maxValue="690724"/>
    </cacheField>
    <cacheField name="Adults _x000a_(Ages 65+)" numFmtId="167">
      <sharedItems containsSemiMixedTypes="0" containsString="0" containsNumber="1" containsInteger="1" minValue="885" maxValue="137143"/>
    </cacheField>
    <cacheField name="NonElderly Population (Ages 3-64)" numFmtId="167">
      <sharedItems containsSemiMixedTypes="0" containsString="0" containsNumber="1" containsInteger="1" minValue="3251" maxValue="951456"/>
    </cacheField>
    <cacheField name="Children_x000a_UnInsured_x000a_(Ages 0-18)" numFmtId="165">
      <sharedItems containsSemiMixedTypes="0" containsString="0" containsNumber="1" minValue="3.5000000000000003E-2" maxValue="8.5999999999999993E-2"/>
    </cacheField>
    <cacheField name="Adults_x000a_UnInsured_x000a_(Ages 18-64)" numFmtId="165">
      <sharedItems containsSemiMixedTypes="0" containsString="0" containsNumber="1" minValue="0.11800000000000001" maxValue="0.25700000000000001"/>
    </cacheField>
    <cacheField name="NonElderly_x000a_UnInsured_x000a_(Ages 0-64)" numFmtId="165">
      <sharedItems containsSemiMixedTypes="0" containsString="0" containsNumber="1" minValue="9.9000000000000005E-2" maxValue="0.20699999999999999"/>
    </cacheField>
    <cacheField name="Children _x000a_(Ages 0-2)2" numFmtId="37">
      <sharedItems containsSemiMixedTypes="0" containsString="0" containsNumber="1" minValue="8.5409999999999986" maxValue="2439.25"/>
    </cacheField>
    <cacheField name="Children _x000a_(Ages 3-17)2" numFmtId="3">
      <sharedItems containsSemiMixedTypes="0" containsString="0" containsNumber="1" minValue="47.498999999999995" maxValue="12065.13"/>
    </cacheField>
    <cacheField name="Adults _x000a_(Ages 18-20)2" numFmtId="3">
      <sharedItems containsSemiMixedTypes="0" containsString="0" containsNumber="1" minValue="25.83" maxValue="6535.8280000000004"/>
    </cacheField>
    <cacheField name="NonElderly  Adults _x000a_(Ages 21-64)" numFmtId="3">
      <sharedItems containsSemiMixedTypes="0" containsString="0" containsNumber="1" minValue="516.39" maxValue="109134.39200000001"/>
    </cacheField>
    <cacheField name="NonElderly Adults _x000a_(Ages 18-64)" numFmtId="3">
      <sharedItems containsSemiMixedTypes="0" containsString="0" containsNumber="1" minValue="542.22" maxValue="115670.22"/>
    </cacheField>
    <cacheField name="NonElderly UnInsured Population (Ages 3-64)" numFmtId="3">
      <sharedItems containsSemiMixedTypes="0" containsString="0" containsNumber="1" minValue="555.92100000000005" maxValue="123689.2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x v="0"/>
    <x v="0"/>
    <s v="Urban"/>
    <n v="159522"/>
    <n v="5298"/>
    <n v="30153"/>
    <n v="7992"/>
    <n v="89836"/>
    <n v="26243"/>
    <n v="127981"/>
    <n v="5.5999999999999994E-2"/>
    <n v="0.20800000000000002"/>
    <n v="0.16500000000000001"/>
    <n v="296.68799999999999"/>
    <n v="1688.5679999999998"/>
    <n v="1662.3360000000002"/>
    <n v="18685.888000000003"/>
    <n v="20348.224000000002"/>
    <n v="21116.865000000002"/>
  </r>
  <r>
    <x v="1"/>
    <x v="1"/>
    <s v="Urban"/>
    <n v="38715"/>
    <n v="1106"/>
    <n v="6851"/>
    <n v="1331"/>
    <n v="22107"/>
    <n v="7320"/>
    <n v="30289"/>
    <n v="5.5E-2"/>
    <n v="0.20199999999999999"/>
    <n v="0.16200000000000001"/>
    <n v="60.83"/>
    <n v="376.80500000000001"/>
    <n v="268.86199999999997"/>
    <n v="4465.6139999999996"/>
    <n v="4734.4759999999997"/>
    <n v="4906.8180000000002"/>
  </r>
  <r>
    <x v="2"/>
    <x v="1"/>
    <s v="Rural"/>
    <n v="11219"/>
    <n v="285"/>
    <n v="1717"/>
    <n v="380"/>
    <n v="6057"/>
    <n v="2780"/>
    <n v="8154"/>
    <n v="0.10199999999999999"/>
    <n v="0.24399999999999999"/>
    <n v="0.21"/>
    <n v="29.069999999999997"/>
    <n v="175.13399999999999"/>
    <n v="92.72"/>
    <n v="1477.9079999999999"/>
    <n v="1570.6279999999999"/>
    <n v="1712.34"/>
  </r>
  <r>
    <x v="3"/>
    <x v="2"/>
    <s v="Rural"/>
    <n v="26466"/>
    <n v="739"/>
    <n v="4622"/>
    <n v="917"/>
    <n v="15743"/>
    <n v="4445"/>
    <n v="21282"/>
    <n v="5.5E-2"/>
    <n v="0.20800000000000002"/>
    <n v="0.16699999999999998"/>
    <n v="40.645000000000003"/>
    <n v="254.21"/>
    <n v="190.73600000000002"/>
    <n v="3274.5440000000003"/>
    <n v="3465.28"/>
    <n v="3554.0939999999996"/>
  </r>
  <r>
    <x v="4"/>
    <x v="1"/>
    <s v="Rural"/>
    <n v="27507"/>
    <n v="726"/>
    <n v="4359"/>
    <n v="884"/>
    <n v="14985"/>
    <n v="6553"/>
    <n v="20228"/>
    <n v="7.8E-2"/>
    <n v="0.23699999999999999"/>
    <n v="0.19800000000000001"/>
    <n v="56.628"/>
    <n v="340.00200000000001"/>
    <n v="209.50799999999998"/>
    <n v="3551.4449999999997"/>
    <n v="3760.9529999999995"/>
    <n v="4005.1440000000002"/>
  </r>
  <r>
    <x v="5"/>
    <x v="1"/>
    <s v="Rural"/>
    <n v="17903"/>
    <n v="418"/>
    <n v="2375"/>
    <n v="629"/>
    <n v="10754"/>
    <n v="3727"/>
    <n v="13758"/>
    <n v="8.3000000000000004E-2"/>
    <n v="0.245"/>
    <n v="0.20699999999999999"/>
    <n v="34.694000000000003"/>
    <n v="197.125"/>
    <n v="154.10499999999999"/>
    <n v="2634.73"/>
    <n v="2788.835"/>
    <n v="2847.9059999999999"/>
  </r>
  <r>
    <x v="6"/>
    <x v="3"/>
    <s v="Rural"/>
    <n v="47717"/>
    <n v="1394"/>
    <n v="8509"/>
    <n v="1530"/>
    <n v="25311"/>
    <n v="10973"/>
    <n v="35350"/>
    <n v="6.7000000000000004E-2"/>
    <n v="0.18899999999999997"/>
    <n v="0.156"/>
    <n v="93.39800000000001"/>
    <n v="570.10300000000007"/>
    <n v="289.16999999999996"/>
    <n v="4783.7789999999995"/>
    <n v="5072.9489999999996"/>
    <n v="5514.6"/>
  </r>
  <r>
    <x v="7"/>
    <x v="3"/>
    <s v="Rural"/>
    <n v="20100"/>
    <n v="555"/>
    <n v="3320"/>
    <n v="748"/>
    <n v="11618"/>
    <n v="3859"/>
    <n v="15686"/>
    <n v="4.7E-2"/>
    <n v="0.17600000000000002"/>
    <n v="0.14400000000000002"/>
    <n v="26.085000000000001"/>
    <n v="156.04"/>
    <n v="131.64800000000002"/>
    <n v="2044.7680000000003"/>
    <n v="2176.4160000000002"/>
    <n v="2258.7840000000001"/>
  </r>
  <r>
    <x v="8"/>
    <x v="4"/>
    <s v="Rural"/>
    <n v="35194"/>
    <n v="1079"/>
    <n v="6357"/>
    <n v="1307"/>
    <n v="19687"/>
    <n v="6764"/>
    <n v="27351"/>
    <n v="6.7000000000000004E-2"/>
    <n v="0.23"/>
    <n v="0.18600000000000003"/>
    <n v="72.293000000000006"/>
    <n v="425.91900000000004"/>
    <n v="300.61"/>
    <n v="4528.01"/>
    <n v="4828.62"/>
    <n v="5087.286000000001"/>
  </r>
  <r>
    <x v="9"/>
    <x v="3"/>
    <s v="Urban"/>
    <n v="124668"/>
    <n v="3246"/>
    <n v="18450"/>
    <n v="3137"/>
    <n v="64748"/>
    <n v="35087"/>
    <n v="86335"/>
    <n v="6.3E-2"/>
    <n v="0.20800000000000002"/>
    <n v="0.17399999999999999"/>
    <n v="204.49799999999999"/>
    <n v="1162.3499999999999"/>
    <n v="652.49600000000009"/>
    <n v="13467.584000000001"/>
    <n v="14120.080000000002"/>
    <n v="15022.289999999999"/>
  </r>
  <r>
    <x v="10"/>
    <x v="1"/>
    <s v="Urban"/>
    <n v="257413"/>
    <n v="7813"/>
    <n v="42095"/>
    <n v="8433"/>
    <n v="150584"/>
    <n v="48488"/>
    <n v="201112"/>
    <n v="5.4000000000000006E-2"/>
    <n v="0.18100000000000002"/>
    <n v="0.15"/>
    <n v="421.90200000000004"/>
    <n v="2273.13"/>
    <n v="1526.3730000000003"/>
    <n v="27255.704000000002"/>
    <n v="28782.077000000001"/>
    <n v="30166.799999999999"/>
  </r>
  <r>
    <x v="11"/>
    <x v="5"/>
    <s v="Urban"/>
    <n v="89198"/>
    <n v="2546"/>
    <n v="15622"/>
    <n v="4362"/>
    <n v="49671"/>
    <n v="16997"/>
    <n v="69655"/>
    <n v="5.5999999999999994E-2"/>
    <n v="0.21"/>
    <n v="0.17199999999999999"/>
    <n v="142.57599999999999"/>
    <n v="874.83199999999988"/>
    <n v="916.02"/>
    <n v="10430.91"/>
    <n v="11346.93"/>
    <n v="11980.66"/>
  </r>
  <r>
    <x v="12"/>
    <x v="0"/>
    <s v="Urban"/>
    <n v="200827"/>
    <n v="7258"/>
    <n v="43534"/>
    <n v="7828"/>
    <n v="116422"/>
    <n v="25785"/>
    <n v="167784"/>
    <n v="5.2000000000000005E-2"/>
    <n v="0.17"/>
    <n v="0.13400000000000001"/>
    <n v="377.41600000000005"/>
    <n v="2263.768"/>
    <n v="1330.76"/>
    <n v="19791.740000000002"/>
    <n v="21122.5"/>
    <n v="22483.056"/>
  </r>
  <r>
    <x v="13"/>
    <x v="1"/>
    <s v="Urban"/>
    <n v="82350"/>
    <n v="2388"/>
    <n v="14439"/>
    <n v="3308"/>
    <n v="47100"/>
    <n v="15115"/>
    <n v="64847"/>
    <n v="4.7E-2"/>
    <n v="0.21199999999999999"/>
    <n v="0.17"/>
    <n v="112.236"/>
    <n v="678.63300000000004"/>
    <n v="701.29599999999994"/>
    <n v="9985.1999999999989"/>
    <n v="10686.495999999999"/>
    <n v="11023.990000000002"/>
  </r>
  <r>
    <x v="14"/>
    <x v="3"/>
    <s v="Rural"/>
    <n v="10431"/>
    <n v="306"/>
    <n v="1928"/>
    <n v="377"/>
    <n v="6184"/>
    <n v="1636"/>
    <n v="8489"/>
    <n v="6.7000000000000004E-2"/>
    <n v="0.16"/>
    <n v="0.13300000000000001"/>
    <n v="20.502000000000002"/>
    <n v="129.17600000000002"/>
    <n v="60.32"/>
    <n v="989.44"/>
    <n v="1049.76"/>
    <n v="1129.037"/>
  </r>
  <r>
    <x v="15"/>
    <x v="3"/>
    <s v="Rural"/>
    <n v="69706"/>
    <n v="1829"/>
    <n v="10480"/>
    <n v="2151"/>
    <n v="39046"/>
    <n v="16200"/>
    <n v="51677"/>
    <n v="0.06"/>
    <n v="0.19500000000000001"/>
    <n v="0.16300000000000001"/>
    <n v="109.74"/>
    <n v="628.79999999999995"/>
    <n v="419.44499999999999"/>
    <n v="7613.97"/>
    <n v="8033.415"/>
    <n v="8423.3510000000006"/>
  </r>
  <r>
    <x v="16"/>
    <x v="0"/>
    <s v="Rural"/>
    <n v="23627"/>
    <n v="634"/>
    <n v="3717"/>
    <n v="732"/>
    <n v="13993"/>
    <n v="4551"/>
    <n v="18442"/>
    <n v="5.5999999999999994E-2"/>
    <n v="0.193"/>
    <n v="0.158"/>
    <n v="35.503999999999998"/>
    <n v="208.15199999999999"/>
    <n v="141.27600000000001"/>
    <n v="2700.6489999999999"/>
    <n v="2841.9249999999997"/>
    <n v="2913.8360000000002"/>
  </r>
  <r>
    <x v="17"/>
    <x v="5"/>
    <s v="Urban"/>
    <n v="156532"/>
    <n v="5196"/>
    <n v="29869"/>
    <n v="6155"/>
    <n v="89102"/>
    <n v="26210"/>
    <n v="125126"/>
    <n v="5.5999999999999994E-2"/>
    <n v="0.192"/>
    <n v="0.154"/>
    <n v="290.97599999999994"/>
    <n v="1672.6639999999998"/>
    <n v="1181.76"/>
    <n v="17107.583999999999"/>
    <n v="18289.343999999997"/>
    <n v="19269.403999999999"/>
  </r>
  <r>
    <x v="18"/>
    <x v="0"/>
    <s v="Urban"/>
    <n v="70981"/>
    <n v="1914"/>
    <n v="11983"/>
    <n v="2087"/>
    <n v="38235"/>
    <n v="16762"/>
    <n v="52305"/>
    <n v="7.0999999999999994E-2"/>
    <n v="0.18899999999999997"/>
    <n v="0.157"/>
    <n v="135.89399999999998"/>
    <n v="850.79299999999989"/>
    <n v="394.44299999999993"/>
    <n v="7226.4149999999991"/>
    <n v="7620.8579999999993"/>
    <n v="8211.8850000000002"/>
  </r>
  <r>
    <x v="19"/>
    <x v="1"/>
    <s v="Rural"/>
    <n v="27524"/>
    <n v="693"/>
    <n v="4186"/>
    <n v="827"/>
    <n v="14125"/>
    <n v="7693"/>
    <n v="19138"/>
    <n v="7.6999999999999999E-2"/>
    <n v="0.23"/>
    <n v="0.192"/>
    <n v="53.360999999999997"/>
    <n v="322.322"/>
    <n v="190.21"/>
    <n v="3248.75"/>
    <n v="3438.96"/>
    <n v="3674.4960000000001"/>
  </r>
  <r>
    <x v="20"/>
    <x v="3"/>
    <s v="Rural"/>
    <n v="14669"/>
    <n v="439"/>
    <n v="2615"/>
    <n v="496"/>
    <n v="7771"/>
    <n v="3348"/>
    <n v="10882"/>
    <n v="6.7000000000000004E-2"/>
    <n v="0.2"/>
    <n v="0.16300000000000001"/>
    <n v="29.413"/>
    <n v="175.20500000000001"/>
    <n v="99.2"/>
    <n v="1554.2"/>
    <n v="1653.4"/>
    <n v="1773.7660000000001"/>
  </r>
  <r>
    <x v="21"/>
    <x v="1"/>
    <s v="Rural"/>
    <n v="10855"/>
    <n v="265"/>
    <n v="1607"/>
    <n v="336"/>
    <n v="5507"/>
    <n v="3140"/>
    <n v="7450"/>
    <n v="9.0999999999999998E-2"/>
    <n v="0.223"/>
    <n v="0.19"/>
    <n v="24.114999999999998"/>
    <n v="146.23699999999999"/>
    <n v="74.927999999999997"/>
    <n v="1228.0609999999999"/>
    <n v="1302.989"/>
    <n v="1415.5"/>
  </r>
  <r>
    <x v="22"/>
    <x v="5"/>
    <s v="Rural"/>
    <n v="98532"/>
    <n v="3120"/>
    <n v="18187"/>
    <n v="4337"/>
    <n v="55443"/>
    <n v="17445"/>
    <n v="77967"/>
    <n v="4.5999999999999999E-2"/>
    <n v="0.17699999999999999"/>
    <n v="0.14099999999999999"/>
    <n v="143.52000000000001"/>
    <n v="836.60199999999998"/>
    <n v="767.649"/>
    <n v="9813.4110000000001"/>
    <n v="10581.06"/>
    <n v="10993.347"/>
  </r>
  <r>
    <x v="23"/>
    <x v="4"/>
    <s v="Rural"/>
    <n v="57579"/>
    <n v="1822"/>
    <n v="10569"/>
    <n v="2236"/>
    <n v="32588"/>
    <n v="10364"/>
    <n v="45393"/>
    <n v="6.4000000000000001E-2"/>
    <n v="0.22800000000000001"/>
    <n v="0.182"/>
    <n v="116.608"/>
    <n v="676.41600000000005"/>
    <n v="509.80799999999999"/>
    <n v="7430.0640000000003"/>
    <n v="7939.8720000000003"/>
    <n v="8261.5259999999998"/>
  </r>
  <r>
    <x v="24"/>
    <x v="3"/>
    <s v="Urban"/>
    <n v="105773"/>
    <n v="4511"/>
    <n v="21922"/>
    <n v="4707"/>
    <n v="56850"/>
    <n v="17783"/>
    <n v="83479"/>
    <n v="0.05"/>
    <n v="0.183"/>
    <n v="0.14499999999999999"/>
    <n v="225.55"/>
    <n v="1096.1000000000001"/>
    <n v="861.38099999999997"/>
    <n v="10403.549999999999"/>
    <n v="11264.930999999999"/>
    <n v="12104.455"/>
  </r>
  <r>
    <x v="25"/>
    <x v="6"/>
    <s v="Urban"/>
    <n v="333073"/>
    <n v="16245"/>
    <n v="72833"/>
    <n v="15431"/>
    <n v="189745"/>
    <n v="38819"/>
    <n v="278009"/>
    <n v="4.9000000000000002E-2"/>
    <n v="0.17"/>
    <n v="0.13400000000000001"/>
    <n v="796.005"/>
    <n v="3568.817"/>
    <n v="2623.27"/>
    <n v="32256.65"/>
    <n v="34879.919999999998"/>
    <n v="37253.206000000006"/>
  </r>
  <r>
    <x v="26"/>
    <x v="3"/>
    <s v="Urban"/>
    <n v="26160"/>
    <n v="808"/>
    <n v="4729"/>
    <n v="934"/>
    <n v="15707"/>
    <n v="3982"/>
    <n v="21370"/>
    <n v="6.5000000000000002E-2"/>
    <n v="0.18100000000000002"/>
    <n v="0.15"/>
    <n v="52.52"/>
    <n v="307.38499999999999"/>
    <n v="169.05400000000003"/>
    <n v="2842.9670000000006"/>
    <n v="3012.0210000000006"/>
    <n v="3205.5"/>
  </r>
  <r>
    <x v="27"/>
    <x v="3"/>
    <s v="Rural"/>
    <n v="35727"/>
    <n v="1107"/>
    <n v="5767"/>
    <n v="901"/>
    <n v="20831"/>
    <n v="7121"/>
    <n v="27499"/>
    <n v="7.5999999999999998E-2"/>
    <n v="0.20300000000000001"/>
    <n v="0.17199999999999999"/>
    <n v="84.132000000000005"/>
    <n v="438.29199999999997"/>
    <n v="182.90300000000002"/>
    <n v="4228.6930000000002"/>
    <n v="4411.5960000000005"/>
    <n v="4729.8279999999995"/>
  </r>
  <r>
    <x v="28"/>
    <x v="0"/>
    <s v="Urban"/>
    <n v="165399"/>
    <n v="5302"/>
    <n v="30961"/>
    <n v="5840"/>
    <n v="95081"/>
    <n v="28215"/>
    <n v="131882"/>
    <n v="4.7E-2"/>
    <n v="0.19699999999999998"/>
    <n v="0.155"/>
    <n v="249.19399999999999"/>
    <n v="1455.1669999999999"/>
    <n v="1150.4799999999998"/>
    <n v="18730.956999999999"/>
    <n v="19881.436999999998"/>
    <n v="20441.71"/>
  </r>
  <r>
    <x v="29"/>
    <x v="0"/>
    <s v="Urban"/>
    <n v="41474"/>
    <n v="1183"/>
    <n v="7370"/>
    <n v="1489"/>
    <n v="23338"/>
    <n v="8094"/>
    <n v="32197"/>
    <n v="7.0000000000000007E-2"/>
    <n v="0.17199999999999999"/>
    <n v="0.14400000000000002"/>
    <n v="82.81"/>
    <n v="515.90000000000009"/>
    <n v="256.108"/>
    <n v="4014.1359999999995"/>
    <n v="4270.2439999999997"/>
    <n v="4636.3680000000004"/>
  </r>
  <r>
    <x v="30"/>
    <x v="4"/>
    <s v="Rural"/>
    <n v="60763"/>
    <n v="2254"/>
    <n v="12409"/>
    <n v="2440"/>
    <n v="33410"/>
    <n v="10250"/>
    <n v="48259"/>
    <n v="8.5000000000000006E-2"/>
    <n v="0.29299999999999998"/>
    <n v="0.23199999999999998"/>
    <n v="191.59"/>
    <n v="1054.7650000000001"/>
    <n v="714.92"/>
    <n v="9789.1299999999992"/>
    <n v="10504.05"/>
    <n v="11196.088"/>
  </r>
  <r>
    <x v="31"/>
    <x v="6"/>
    <s v="Urban"/>
    <n v="303416"/>
    <n v="13005"/>
    <n v="57593"/>
    <n v="14181"/>
    <n v="183145"/>
    <n v="35492"/>
    <n v="254919"/>
    <n v="4.9000000000000002E-2"/>
    <n v="0.18600000000000003"/>
    <n v="0.151"/>
    <n v="637.245"/>
    <n v="2822.0570000000002"/>
    <n v="2637.6660000000002"/>
    <n v="34064.970000000008"/>
    <n v="36702.636000000006"/>
    <n v="38492.769"/>
  </r>
  <r>
    <x v="32"/>
    <x v="4"/>
    <s v="Urban"/>
    <n v="55303"/>
    <n v="1793"/>
    <n v="10895"/>
    <n v="2105"/>
    <n v="30716"/>
    <n v="9794"/>
    <n v="43716"/>
    <n v="3.9E-2"/>
    <n v="0.187"/>
    <n v="0.14499999999999999"/>
    <n v="69.927000000000007"/>
    <n v="424.90499999999997"/>
    <n v="393.63499999999999"/>
    <n v="5743.8919999999998"/>
    <n v="6137.527"/>
    <n v="6338.82"/>
  </r>
  <r>
    <x v="33"/>
    <x v="0"/>
    <s v="Urban"/>
    <n v="371646"/>
    <n v="13579"/>
    <n v="73737"/>
    <n v="15578"/>
    <n v="213147"/>
    <n v="55605"/>
    <n v="302462"/>
    <n v="4.7E-2"/>
    <n v="0.19600000000000001"/>
    <n v="0.153"/>
    <n v="638.21299999999997"/>
    <n v="3465.6390000000001"/>
    <n v="3053.288"/>
    <n v="41776.811999999998"/>
    <n v="44830.1"/>
    <n v="46276.686000000002"/>
  </r>
  <r>
    <x v="34"/>
    <x v="0"/>
    <s v="Urban"/>
    <n v="64436"/>
    <n v="2037"/>
    <n v="12349"/>
    <n v="2510"/>
    <n v="37298"/>
    <n v="10242"/>
    <n v="52157"/>
    <n v="6.4000000000000001E-2"/>
    <n v="0.21899999999999997"/>
    <n v="0.17499999999999999"/>
    <n v="130.36799999999999"/>
    <n v="790.33600000000001"/>
    <n v="549.68999999999994"/>
    <n v="8168.2619999999988"/>
    <n v="8717.9519999999993"/>
    <n v="9127.4749999999985"/>
  </r>
  <r>
    <x v="35"/>
    <x v="5"/>
    <s v="Urban"/>
    <n v="213325"/>
    <n v="7373"/>
    <n v="41293"/>
    <n v="8262"/>
    <n v="123427"/>
    <n v="32970"/>
    <n v="172982"/>
    <n v="5.2000000000000005E-2"/>
    <n v="0.19800000000000001"/>
    <n v="0.158"/>
    <n v="383.39600000000002"/>
    <n v="2147.2360000000003"/>
    <n v="1635.876"/>
    <n v="24438.546000000002"/>
    <n v="26074.422000000002"/>
    <n v="27331.155999999999"/>
  </r>
  <r>
    <x v="36"/>
    <x v="3"/>
    <s v="Urban"/>
    <n v="11914"/>
    <n v="326"/>
    <n v="2039"/>
    <n v="456"/>
    <n v="6925"/>
    <n v="2168"/>
    <n v="9420"/>
    <n v="6.2E-2"/>
    <n v="0.17199999999999999"/>
    <n v="0.14300000000000002"/>
    <n v="20.212"/>
    <n v="126.41799999999999"/>
    <n v="78.431999999999988"/>
    <n v="1191.0999999999999"/>
    <n v="1269.5319999999999"/>
    <n v="1347.0600000000002"/>
  </r>
  <r>
    <x v="37"/>
    <x v="1"/>
    <s v="Rural"/>
    <n v="8969"/>
    <n v="279"/>
    <n v="1601"/>
    <n v="316"/>
    <n v="4700"/>
    <n v="2073"/>
    <n v="6617"/>
    <n v="7.2000000000000008E-2"/>
    <n v="0.23399999999999999"/>
    <n v="0.19"/>
    <n v="20.088000000000001"/>
    <n v="115.27200000000002"/>
    <n v="73.943999999999988"/>
    <n v="1099.8"/>
    <n v="1173.7439999999999"/>
    <n v="1257.23"/>
  </r>
  <r>
    <x v="38"/>
    <x v="0"/>
    <s v="Rural"/>
    <n v="58471"/>
    <n v="1633"/>
    <n v="10097"/>
    <n v="2551"/>
    <n v="34948"/>
    <n v="9242"/>
    <n v="47596"/>
    <n v="5.7999999999999996E-2"/>
    <n v="0.17800000000000002"/>
    <n v="0.14599999999999999"/>
    <n v="94.713999999999999"/>
    <n v="585.62599999999998"/>
    <n v="454.07800000000003"/>
    <n v="6220.7440000000006"/>
    <n v="6674.822000000001"/>
    <n v="6949.0159999999996"/>
  </r>
  <r>
    <x v="39"/>
    <x v="4"/>
    <s v="Rural"/>
    <n v="21310"/>
    <n v="637"/>
    <n v="3997"/>
    <n v="746"/>
    <n v="12703"/>
    <n v="3227"/>
    <n v="17446"/>
    <n v="7.6999999999999999E-2"/>
    <n v="0.251"/>
    <n v="0.20100000000000001"/>
    <n v="49.048999999999999"/>
    <n v="307.76900000000001"/>
    <n v="187.24600000000001"/>
    <n v="3188.453"/>
    <n v="3375.6990000000001"/>
    <n v="3506.6460000000002"/>
  </r>
  <r>
    <x v="40"/>
    <x v="2"/>
    <s v="Urban"/>
    <n v="520398"/>
    <n v="17863"/>
    <n v="97307"/>
    <n v="26867"/>
    <n v="303029"/>
    <n v="75332"/>
    <n v="427203"/>
    <n v="5.5999999999999994E-2"/>
    <n v="0.183"/>
    <n v="0.14800000000000002"/>
    <n v="1000.3279999999999"/>
    <n v="5449.1919999999991"/>
    <n v="4916.6610000000001"/>
    <n v="55454.307000000001"/>
    <n v="60370.968000000001"/>
    <n v="63226.044000000009"/>
  </r>
  <r>
    <x v="41"/>
    <x v="0"/>
    <s v="Rural"/>
    <n v="52567"/>
    <n v="1685"/>
    <n v="9636"/>
    <n v="1760"/>
    <n v="29469"/>
    <n v="10017"/>
    <n v="40865"/>
    <n v="0.05"/>
    <n v="0.19399999999999998"/>
    <n v="0.155"/>
    <n v="84.25"/>
    <n v="481.8"/>
    <n v="341.43999999999994"/>
    <n v="5716.985999999999"/>
    <n v="6058.4259999999986"/>
    <n v="6334.0749999999998"/>
  </r>
  <r>
    <x v="42"/>
    <x v="2"/>
    <s v="Rural"/>
    <n v="130243"/>
    <n v="5649"/>
    <n v="29899"/>
    <n v="5928"/>
    <n v="72931"/>
    <n v="15836"/>
    <n v="108758"/>
    <n v="5.2000000000000005E-2"/>
    <n v="0.20300000000000001"/>
    <n v="0.155"/>
    <n v="293.74800000000005"/>
    <n v="1554.748"/>
    <n v="1203.384"/>
    <n v="14804.993"/>
    <n v="16008.377"/>
    <n v="16857.490000000002"/>
  </r>
  <r>
    <x v="43"/>
    <x v="1"/>
    <s v="Urban"/>
    <n v="60436"/>
    <n v="1694"/>
    <n v="9359"/>
    <n v="1882"/>
    <n v="32659"/>
    <n v="14842"/>
    <n v="43900"/>
    <n v="5.5E-2"/>
    <n v="0.184"/>
    <n v="0.153"/>
    <n v="93.17"/>
    <n v="514.745"/>
    <n v="346.28800000000001"/>
    <n v="6009.2560000000003"/>
    <n v="6355.5439999999999"/>
    <n v="6716.7"/>
  </r>
  <r>
    <x v="44"/>
    <x v="1"/>
    <s v="Urban"/>
    <n v="113314"/>
    <n v="3288"/>
    <n v="18744"/>
    <n v="3295"/>
    <n v="58964"/>
    <n v="29023"/>
    <n v="81003"/>
    <n v="6.4000000000000001E-2"/>
    <n v="0.20899999999999999"/>
    <n v="0.17100000000000001"/>
    <n v="210.43200000000002"/>
    <n v="1199.616"/>
    <n v="688.65499999999997"/>
    <n v="12323.475999999999"/>
    <n v="13012.130999999999"/>
    <n v="13851.513000000001"/>
  </r>
  <r>
    <x v="45"/>
    <x v="3"/>
    <s v="Rural"/>
    <n v="24423"/>
    <n v="672"/>
    <n v="4142"/>
    <n v="1237"/>
    <n v="13931"/>
    <n v="4441"/>
    <n v="19310"/>
    <n v="5.0999999999999997E-2"/>
    <n v="0.19399999999999998"/>
    <n v="0.156"/>
    <n v="34.271999999999998"/>
    <n v="211.24199999999999"/>
    <n v="239.97799999999998"/>
    <n v="2702.6139999999996"/>
    <n v="2942.5919999999996"/>
    <n v="3012.36"/>
  </r>
  <r>
    <x v="46"/>
    <x v="2"/>
    <s v="Urban"/>
    <n v="52400"/>
    <n v="2719"/>
    <n v="13514"/>
    <n v="2112"/>
    <n v="29339"/>
    <n v="4716"/>
    <n v="44965"/>
    <n v="6.3E-2"/>
    <n v="0.21899999999999997"/>
    <n v="0.17"/>
    <n v="171.297"/>
    <n v="851.38200000000006"/>
    <n v="462.52799999999996"/>
    <n v="6425.2409999999991"/>
    <n v="6887.7689999999993"/>
    <n v="7644.05"/>
  </r>
  <r>
    <x v="47"/>
    <x v="3"/>
    <s v="Rural"/>
    <n v="5720"/>
    <n v="136"/>
    <n v="841"/>
    <n v="188"/>
    <n v="3506"/>
    <n v="1049"/>
    <n v="4535"/>
    <n v="8.8000000000000009E-2"/>
    <n v="0.20399999999999999"/>
    <n v="0.17399999999999999"/>
    <n v="11.968000000000002"/>
    <n v="74.00800000000001"/>
    <n v="38.351999999999997"/>
    <n v="715.22399999999993"/>
    <n v="753.57599999999991"/>
    <n v="789.08999999999992"/>
  </r>
  <r>
    <x v="48"/>
    <x v="5"/>
    <s v="Urban"/>
    <n v="171400"/>
    <n v="5467"/>
    <n v="33440"/>
    <n v="6827"/>
    <n v="99775"/>
    <n v="25891"/>
    <n v="140042"/>
    <n v="5.9000000000000004E-2"/>
    <n v="0.182"/>
    <n v="0.14699999999999999"/>
    <n v="322.553"/>
    <n v="1972.96"/>
    <n v="1242.5139999999999"/>
    <n v="18159.05"/>
    <n v="19401.563999999998"/>
    <n v="20586.173999999999"/>
  </r>
  <r>
    <x v="49"/>
    <x v="1"/>
    <s v="Rural"/>
    <n v="41516"/>
    <n v="1153"/>
    <n v="6147"/>
    <n v="3891"/>
    <n v="22534"/>
    <n v="7791"/>
    <n v="32572"/>
    <n v="8.1000000000000003E-2"/>
    <n v="0.23899999999999999"/>
    <n v="0.20199999999999999"/>
    <n v="93.393000000000001"/>
    <n v="497.90700000000004"/>
    <n v="929.94899999999996"/>
    <n v="5385.6260000000002"/>
    <n v="6315.5749999999998"/>
    <n v="6579.5439999999999"/>
  </r>
  <r>
    <x v="50"/>
    <x v="6"/>
    <s v="Urban"/>
    <n v="186764"/>
    <n v="6930"/>
    <n v="41058"/>
    <n v="7294"/>
    <n v="107759"/>
    <n v="23723"/>
    <n v="156111"/>
    <n v="6.3E-2"/>
    <n v="0.20300000000000001"/>
    <n v="0.16"/>
    <n v="436.59"/>
    <n v="2586.654"/>
    <n v="1480.682"/>
    <n v="21875.077000000001"/>
    <n v="23355.759000000002"/>
    <n v="24977.760000000002"/>
  </r>
  <r>
    <x v="51"/>
    <x v="3"/>
    <s v="Urban"/>
    <n v="10518"/>
    <n v="326"/>
    <n v="1789"/>
    <n v="309"/>
    <n v="6024"/>
    <n v="2070"/>
    <n v="8122"/>
    <n v="7.400000000000001E-2"/>
    <n v="0.20199999999999999"/>
    <n v="0.17"/>
    <n v="24.124000000000002"/>
    <n v="132.38600000000002"/>
    <n v="62.417999999999992"/>
    <n v="1216.848"/>
    <n v="1279.2659999999998"/>
    <n v="1380.74"/>
  </r>
  <r>
    <x v="52"/>
    <x v="2"/>
    <s v="Rural"/>
    <n v="59211"/>
    <n v="2363"/>
    <n v="12543"/>
    <n v="2307"/>
    <n v="32698"/>
    <n v="9300"/>
    <n v="47548"/>
    <n v="6.4000000000000001E-2"/>
    <n v="0.223"/>
    <n v="0.17499999999999999"/>
    <n v="151.232"/>
    <n v="802.75200000000007"/>
    <n v="514.46100000000001"/>
    <n v="7291.6540000000005"/>
    <n v="7806.1150000000007"/>
    <n v="8320.9"/>
  </r>
  <r>
    <x v="53"/>
    <x v="4"/>
    <s v="Rural"/>
    <n v="58732"/>
    <n v="1990"/>
    <n v="11190"/>
    <n v="2137"/>
    <n v="32591"/>
    <n v="10824"/>
    <n v="45918"/>
    <n v="5.2000000000000005E-2"/>
    <n v="0.19800000000000001"/>
    <n v="0.158"/>
    <n v="103.48"/>
    <n v="581.88"/>
    <n v="423.12600000000003"/>
    <n v="6453.018"/>
    <n v="6876.1440000000002"/>
    <n v="7255.0439999999999"/>
  </r>
  <r>
    <x v="54"/>
    <x v="5"/>
    <s v="Urban"/>
    <n v="81417"/>
    <n v="2404"/>
    <n v="14718"/>
    <n v="3006"/>
    <n v="47673"/>
    <n v="13616"/>
    <n v="65397"/>
    <n v="6.0999999999999999E-2"/>
    <n v="0.18600000000000003"/>
    <n v="0.153"/>
    <n v="146.64400000000001"/>
    <n v="897.798"/>
    <n v="559.1160000000001"/>
    <n v="8867.1780000000017"/>
    <n v="9426.2940000000017"/>
    <n v="10005.741"/>
  </r>
  <r>
    <x v="55"/>
    <x v="1"/>
    <s v="Rural"/>
    <n v="35279"/>
    <n v="1034"/>
    <n v="5535"/>
    <n v="1162"/>
    <n v="17852"/>
    <n v="9696"/>
    <n v="24549"/>
    <n v="9.6000000000000002E-2"/>
    <n v="0.247"/>
    <n v="0.20800000000000002"/>
    <n v="99.263999999999996"/>
    <n v="531.36"/>
    <n v="287.01400000000001"/>
    <n v="4409.4439999999995"/>
    <n v="4696.4579999999996"/>
    <n v="5106.192"/>
  </r>
  <r>
    <x v="56"/>
    <x v="1"/>
    <s v="Urban"/>
    <n v="21875"/>
    <n v="568"/>
    <n v="3392"/>
    <n v="1247"/>
    <n v="12014"/>
    <n v="4654"/>
    <n v="16653"/>
    <n v="5.5999999999999994E-2"/>
    <n v="0.185"/>
    <n v="0.152"/>
    <n v="31.807999999999996"/>
    <n v="189.95199999999997"/>
    <n v="230.69499999999999"/>
    <n v="2222.59"/>
    <n v="2453.2850000000003"/>
    <n v="2531.2559999999999"/>
  </r>
  <r>
    <x v="57"/>
    <x v="3"/>
    <s v="Rural"/>
    <n v="23494"/>
    <n v="732"/>
    <n v="4151"/>
    <n v="693"/>
    <n v="12962"/>
    <n v="4956"/>
    <n v="17806"/>
    <n v="5.5E-2"/>
    <n v="0.185"/>
    <n v="0.151"/>
    <n v="40.26"/>
    <n v="228.30500000000001"/>
    <n v="128.20500000000001"/>
    <n v="2397.9699999999998"/>
    <n v="2526.1749999999997"/>
    <n v="2688.7060000000001"/>
  </r>
  <r>
    <x v="58"/>
    <x v="1"/>
    <s v="Rural"/>
    <n v="45437"/>
    <n v="1331"/>
    <n v="7925"/>
    <n v="1557"/>
    <n v="25784"/>
    <n v="8840"/>
    <n v="35266"/>
    <n v="5.2999999999999999E-2"/>
    <n v="0.191"/>
    <n v="0.155"/>
    <n v="70.542999999999992"/>
    <n v="420.02499999999998"/>
    <n v="297.387"/>
    <n v="4924.7439999999997"/>
    <n v="5222.1309999999994"/>
    <n v="5466.23"/>
  </r>
  <r>
    <x v="59"/>
    <x v="0"/>
    <s v="Urban"/>
    <n v="1054561"/>
    <n v="42441"/>
    <n v="211891"/>
    <n v="36404"/>
    <n v="651596"/>
    <n v="112229"/>
    <n v="899891"/>
    <n v="5.2000000000000005E-2"/>
    <n v="0.187"/>
    <n v="0.14899999999999999"/>
    <n v="2206.9320000000002"/>
    <n v="11018.332"/>
    <n v="6807.5479999999998"/>
    <n v="121848.452"/>
    <n v="128656"/>
    <n v="134083.75899999999"/>
  </r>
  <r>
    <x v="60"/>
    <x v="1"/>
    <s v="Rural"/>
    <n v="15894"/>
    <n v="459"/>
    <n v="2443"/>
    <n v="385"/>
    <n v="8944"/>
    <n v="3663"/>
    <n v="11772"/>
    <n v="6.7000000000000004E-2"/>
    <n v="0.192"/>
    <n v="0.161"/>
    <n v="30.753"/>
    <n v="163.68100000000001"/>
    <n v="73.92"/>
    <n v="1717.248"/>
    <n v="1791.1680000000001"/>
    <n v="1895.2920000000001"/>
  </r>
  <r>
    <x v="61"/>
    <x v="2"/>
    <s v="Rural"/>
    <n v="27864"/>
    <n v="917"/>
    <n v="5322"/>
    <n v="1103"/>
    <n v="15118"/>
    <n v="5404"/>
    <n v="21543"/>
    <n v="7.5999999999999998E-2"/>
    <n v="0.252"/>
    <n v="0.20100000000000001"/>
    <n v="69.691999999999993"/>
    <n v="404.47199999999998"/>
    <n v="277.95600000000002"/>
    <n v="3809.7359999999999"/>
    <n v="4087.692"/>
    <n v="4330.143"/>
  </r>
  <r>
    <x v="62"/>
    <x v="2"/>
    <s v="Rural"/>
    <n v="95327"/>
    <n v="3056"/>
    <n v="16749"/>
    <n v="3102"/>
    <n v="48149"/>
    <n v="24271"/>
    <n v="68000"/>
    <n v="6.2E-2"/>
    <n v="0.184"/>
    <n v="0.15"/>
    <n v="189.47200000000001"/>
    <n v="1038.4380000000001"/>
    <n v="570.76800000000003"/>
    <n v="8859.4159999999993"/>
    <n v="9430.1839999999993"/>
    <n v="10200"/>
  </r>
  <r>
    <x v="63"/>
    <x v="4"/>
    <s v="Urban"/>
    <n v="94140"/>
    <n v="3087"/>
    <n v="17436"/>
    <n v="3480"/>
    <n v="53723"/>
    <n v="16414"/>
    <n v="74639"/>
    <n v="5.2999999999999999E-2"/>
    <n v="0.193"/>
    <n v="0.154"/>
    <n v="163.61099999999999"/>
    <n v="924.10799999999995"/>
    <n v="671.64"/>
    <n v="10368.539000000001"/>
    <n v="11040.179"/>
    <n v="11494.405999999999"/>
  </r>
  <r>
    <x v="64"/>
    <x v="3"/>
    <s v="Urban"/>
    <n v="223260"/>
    <n v="6757"/>
    <n v="35610"/>
    <n v="11703"/>
    <n v="132527"/>
    <n v="36663"/>
    <n v="179840"/>
    <n v="5.4000000000000006E-2"/>
    <n v="0.17399999999999999"/>
    <n v="0.14499999999999999"/>
    <n v="364.87800000000004"/>
    <n v="1922.9400000000003"/>
    <n v="2036.3219999999999"/>
    <n v="23059.697999999997"/>
    <n v="25096.019999999997"/>
    <n v="26076.799999999999"/>
  </r>
  <r>
    <x v="65"/>
    <x v="3"/>
    <s v="Rural"/>
    <n v="20960"/>
    <n v="550"/>
    <n v="3402"/>
    <n v="548"/>
    <n v="11736"/>
    <n v="4724"/>
    <n v="15686"/>
    <n v="5.0999999999999997E-2"/>
    <n v="0.17899999999999999"/>
    <n v="0.14699999999999999"/>
    <n v="28.049999999999997"/>
    <n v="173.50199999999998"/>
    <n v="98.091999999999999"/>
    <n v="2100.7439999999997"/>
    <n v="2198.8359999999998"/>
    <n v="2305.8420000000001"/>
  </r>
  <r>
    <x v="66"/>
    <x v="3"/>
    <s v="Urban"/>
    <n v="195835"/>
    <n v="12364"/>
    <n v="44167"/>
    <n v="14655"/>
    <n v="107185"/>
    <n v="17464"/>
    <n v="166007"/>
    <n v="0.04"/>
    <n v="0.14699999999999999"/>
    <n v="0.115"/>
    <n v="494.56"/>
    <n v="1766.68"/>
    <n v="2154.2849999999999"/>
    <n v="15756.195"/>
    <n v="17910.48"/>
    <n v="19090.805"/>
  </r>
  <r>
    <x v="67"/>
    <x v="0"/>
    <s v="Urban"/>
    <n v="143264"/>
    <n v="3669"/>
    <n v="23711"/>
    <n v="12214"/>
    <n v="85462"/>
    <n v="18208"/>
    <n v="121387"/>
    <n v="5.7000000000000002E-2"/>
    <n v="0.14400000000000002"/>
    <n v="0.121"/>
    <n v="209.13300000000001"/>
    <n v="1351.527"/>
    <n v="1758.8160000000003"/>
    <n v="12306.528000000002"/>
    <n v="14065.344000000003"/>
    <n v="14687.826999999999"/>
  </r>
  <r>
    <x v="68"/>
    <x v="3"/>
    <s v="Urban"/>
    <n v="13184"/>
    <n v="296"/>
    <n v="1815"/>
    <n v="330"/>
    <n v="7137"/>
    <n v="3606"/>
    <n v="9282"/>
    <n v="0.09"/>
    <n v="0.185"/>
    <n v="0.16200000000000001"/>
    <n v="26.64"/>
    <n v="163.35"/>
    <n v="61.05"/>
    <n v="1320.345"/>
    <n v="1381.395"/>
    <n v="1503.684"/>
  </r>
  <r>
    <x v="69"/>
    <x v="3"/>
    <s v="Rural"/>
    <n v="40112"/>
    <n v="1457"/>
    <n v="7706"/>
    <n v="2255"/>
    <n v="22627"/>
    <n v="6067"/>
    <n v="32588"/>
    <n v="0.05"/>
    <n v="0.19600000000000001"/>
    <n v="0.156"/>
    <n v="72.850000000000009"/>
    <n v="385.3"/>
    <n v="441.98"/>
    <n v="4434.8919999999998"/>
    <n v="4876.8719999999994"/>
    <n v="5083.7280000000001"/>
  </r>
  <r>
    <x v="70"/>
    <x v="3"/>
    <s v="Urban"/>
    <n v="58815"/>
    <n v="1859"/>
    <n v="10415"/>
    <n v="2231"/>
    <n v="33966"/>
    <n v="10344"/>
    <n v="46612"/>
    <n v="6.6000000000000003E-2"/>
    <n v="0.2"/>
    <n v="0.16300000000000001"/>
    <n v="122.694"/>
    <n v="687.39"/>
    <n v="446.20000000000005"/>
    <n v="6793.2000000000007"/>
    <n v="7239.4000000000005"/>
    <n v="7597.7560000000003"/>
  </r>
  <r>
    <x v="71"/>
    <x v="3"/>
    <s v="Rural"/>
    <n v="13539"/>
    <n v="400"/>
    <n v="2198"/>
    <n v="379"/>
    <n v="7030"/>
    <n v="3532"/>
    <n v="9607"/>
    <n v="6.0999999999999999E-2"/>
    <n v="0.18899999999999997"/>
    <n v="0.154"/>
    <n v="24.4"/>
    <n v="134.078"/>
    <n v="71.630999999999986"/>
    <n v="1328.6699999999998"/>
    <n v="1400.3009999999999"/>
    <n v="1479.4780000000001"/>
  </r>
  <r>
    <x v="72"/>
    <x v="0"/>
    <s v="Urban"/>
    <n v="39383"/>
    <n v="1313"/>
    <n v="7066"/>
    <n v="1247"/>
    <n v="22607"/>
    <n v="7150"/>
    <n v="30920"/>
    <n v="5.5999999999999994E-2"/>
    <n v="0.17899999999999999"/>
    <n v="0.14599999999999999"/>
    <n v="73.527999999999992"/>
    <n v="395.69599999999997"/>
    <n v="223.21299999999999"/>
    <n v="4046.6529999999998"/>
    <n v="4269.866"/>
    <n v="4514.32"/>
  </r>
  <r>
    <x v="73"/>
    <x v="3"/>
    <s v="Urban"/>
    <n v="176269"/>
    <n v="6070"/>
    <n v="32557"/>
    <n v="14834"/>
    <n v="101432"/>
    <n v="21376"/>
    <n v="148823"/>
    <n v="0.05"/>
    <n v="0.17699999999999999"/>
    <n v="0.14400000000000002"/>
    <n v="303.5"/>
    <n v="1627.8500000000001"/>
    <n v="2625.6179999999999"/>
    <n v="17953.464"/>
    <n v="20579.081999999999"/>
    <n v="21430.512000000002"/>
  </r>
  <r>
    <x v="74"/>
    <x v="1"/>
    <s v="Rural"/>
    <n v="20955"/>
    <n v="481"/>
    <n v="3035"/>
    <n v="599"/>
    <n v="10950"/>
    <n v="5890"/>
    <n v="14584"/>
    <n v="8.8000000000000009E-2"/>
    <n v="0.20600000000000002"/>
    <n v="0.17699999999999999"/>
    <n v="42.328000000000003"/>
    <n v="267.08000000000004"/>
    <n v="123.39400000000001"/>
    <n v="2255.7000000000003"/>
    <n v="2379.0940000000001"/>
    <n v="2581.3679999999999"/>
  </r>
  <r>
    <x v="75"/>
    <x v="2"/>
    <s v="Urban"/>
    <n v="144254"/>
    <n v="4746"/>
    <n v="27809"/>
    <n v="5902"/>
    <n v="81739"/>
    <n v="24058"/>
    <n v="115450"/>
    <n v="6.9000000000000006E-2"/>
    <n v="0.21"/>
    <n v="0.17"/>
    <n v="327.47400000000005"/>
    <n v="1918.8210000000001"/>
    <n v="1239.4199999999998"/>
    <n v="17165.189999999999"/>
    <n v="18404.609999999997"/>
    <n v="19626.5"/>
  </r>
  <r>
    <x v="76"/>
    <x v="2"/>
    <s v="Rural"/>
    <n v="45484"/>
    <n v="1519"/>
    <n v="8922"/>
    <n v="2200"/>
    <n v="25186"/>
    <n v="7657"/>
    <n v="36308"/>
    <n v="5.2999999999999999E-2"/>
    <n v="0.22699999999999998"/>
    <n v="0.17699999999999999"/>
    <n v="80.506999999999991"/>
    <n v="472.86599999999999"/>
    <n v="499.4"/>
    <n v="5717.2219999999998"/>
    <n v="6216.6219999999994"/>
    <n v="6426.5159999999996"/>
  </r>
  <r>
    <x v="77"/>
    <x v="4"/>
    <s v="Rural"/>
    <n v="132948"/>
    <n v="5208"/>
    <n v="27729"/>
    <n v="7716"/>
    <n v="73656"/>
    <n v="18639"/>
    <n v="109101"/>
    <n v="6.5000000000000002E-2"/>
    <n v="0.28300000000000003"/>
    <n v="0.217"/>
    <n v="338.52000000000004"/>
    <n v="1802.385"/>
    <n v="2183.6280000000002"/>
    <n v="20844.648000000001"/>
    <n v="23028.276000000002"/>
    <n v="23674.917000000001"/>
  </r>
  <r>
    <x v="78"/>
    <x v="0"/>
    <s v="Urban"/>
    <n v="92543"/>
    <n v="2895"/>
    <n v="16221"/>
    <n v="3120"/>
    <n v="52852"/>
    <n v="17455"/>
    <n v="72193"/>
    <n v="5.4000000000000006E-2"/>
    <n v="0.184"/>
    <n v="0.15"/>
    <n v="156.33000000000001"/>
    <n v="875.93400000000008"/>
    <n v="574.08000000000004"/>
    <n v="9724.768"/>
    <n v="10298.848"/>
    <n v="10828.949999999999"/>
  </r>
  <r>
    <x v="79"/>
    <x v="0"/>
    <s v="Urban"/>
    <n v="138710"/>
    <n v="4495"/>
    <n v="26517"/>
    <n v="5653"/>
    <n v="79228"/>
    <n v="22817"/>
    <n v="111398"/>
    <n v="5.9000000000000004E-2"/>
    <n v="0.21199999999999999"/>
    <n v="0.16899999999999998"/>
    <n v="265.20500000000004"/>
    <n v="1564.5030000000002"/>
    <n v="1198.4359999999999"/>
    <n v="16796.335999999999"/>
    <n v="17994.772000000001"/>
    <n v="18826.261999999999"/>
  </r>
  <r>
    <x v="80"/>
    <x v="1"/>
    <s v="Rural"/>
    <n v="67359"/>
    <n v="2125"/>
    <n v="11996"/>
    <n v="2360"/>
    <n v="37358"/>
    <n v="13520"/>
    <n v="51714"/>
    <n v="5.4000000000000006E-2"/>
    <n v="0.192"/>
    <n v="0.155"/>
    <n v="114.75000000000001"/>
    <n v="647.78400000000011"/>
    <n v="453.12"/>
    <n v="7172.7359999999999"/>
    <n v="7625.8559999999998"/>
    <n v="8015.67"/>
  </r>
  <r>
    <x v="81"/>
    <x v="4"/>
    <s v="Rural"/>
    <n v="64633"/>
    <n v="2448"/>
    <n v="13454"/>
    <n v="2642"/>
    <n v="35379"/>
    <n v="10710"/>
    <n v="51475"/>
    <n v="7.0000000000000007E-2"/>
    <n v="0.25900000000000001"/>
    <n v="0.20300000000000001"/>
    <n v="171.36"/>
    <n v="941.78000000000009"/>
    <n v="684.27800000000002"/>
    <n v="9163.1610000000001"/>
    <n v="9847.4390000000003"/>
    <n v="10449.425000000001"/>
  </r>
  <r>
    <x v="82"/>
    <x v="4"/>
    <s v="Rural"/>
    <n v="35536"/>
    <n v="1309"/>
    <n v="7056"/>
    <n v="1396"/>
    <n v="19777"/>
    <n v="5998"/>
    <n v="28229"/>
    <n v="0.05"/>
    <n v="0.21199999999999999"/>
    <n v="0.16300000000000001"/>
    <n v="65.45"/>
    <n v="352.8"/>
    <n v="295.952"/>
    <n v="4192.7240000000002"/>
    <n v="4488.6760000000004"/>
    <n v="4601.3270000000002"/>
  </r>
  <r>
    <x v="83"/>
    <x v="0"/>
    <s v="Rural"/>
    <n v="61506"/>
    <n v="1986"/>
    <n v="11069"/>
    <n v="2303"/>
    <n v="35016"/>
    <n v="11132"/>
    <n v="48388"/>
    <n v="5.2999999999999999E-2"/>
    <n v="0.183"/>
    <n v="0.14699999999999999"/>
    <n v="105.258"/>
    <n v="586.65700000000004"/>
    <n v="421.44900000000001"/>
    <n v="6407.9279999999999"/>
    <n v="6829.3769999999995"/>
    <n v="7113.0359999999991"/>
  </r>
  <r>
    <x v="84"/>
    <x v="0"/>
    <s v="Urban"/>
    <n v="46786"/>
    <n v="1275"/>
    <n v="7657"/>
    <n v="1542"/>
    <n v="27381"/>
    <n v="8931"/>
    <n v="36580"/>
    <n v="5.0999999999999997E-2"/>
    <n v="0.17699999999999999"/>
    <n v="0.14499999999999999"/>
    <n v="65.024999999999991"/>
    <n v="390.50699999999995"/>
    <n v="272.93399999999997"/>
    <n v="4846.4369999999999"/>
    <n v="5119.3710000000001"/>
    <n v="5304.0999999999995"/>
  </r>
  <r>
    <x v="85"/>
    <x v="5"/>
    <s v="Rural"/>
    <n v="73834"/>
    <n v="2245"/>
    <n v="13523"/>
    <n v="3080"/>
    <n v="40987"/>
    <n v="13999"/>
    <n v="57590"/>
    <n v="7.2000000000000008E-2"/>
    <n v="0.22899999999999998"/>
    <n v="0.18600000000000003"/>
    <n v="161.64000000000001"/>
    <n v="973.65600000000006"/>
    <n v="705.31999999999994"/>
    <n v="9386.0229999999992"/>
    <n v="10091.342999999999"/>
    <n v="10711.740000000002"/>
  </r>
  <r>
    <x v="86"/>
    <x v="1"/>
    <s v="Rural"/>
    <n v="15142"/>
    <n v="638"/>
    <n v="2906"/>
    <n v="515"/>
    <n v="8254"/>
    <n v="2829"/>
    <n v="11675"/>
    <n v="8.6999999999999994E-2"/>
    <n v="0.253"/>
    <n v="0.20699999999999999"/>
    <n v="55.505999999999993"/>
    <n v="252.82199999999997"/>
    <n v="130.29499999999999"/>
    <n v="2088.2620000000002"/>
    <n v="2218.5570000000002"/>
    <n v="2416.7249999999999"/>
  </r>
  <r>
    <x v="87"/>
    <x v="1"/>
    <s v="Rural"/>
    <n v="34047"/>
    <n v="907"/>
    <n v="4769"/>
    <n v="1348"/>
    <n v="16834"/>
    <n v="10189"/>
    <n v="22951"/>
    <n v="6.6000000000000003E-2"/>
    <n v="0.19399999999999998"/>
    <n v="0.16399999999999998"/>
    <n v="59.862000000000002"/>
    <n v="314.75400000000002"/>
    <n v="261.51199999999994"/>
    <n v="3265.7959999999998"/>
    <n v="3527.308"/>
    <n v="3763.9639999999995"/>
  </r>
  <r>
    <x v="88"/>
    <x v="3"/>
    <s v="Rural"/>
    <n v="4141"/>
    <n v="123"/>
    <n v="642"/>
    <n v="106"/>
    <n v="2474"/>
    <n v="796"/>
    <n v="3222"/>
    <n v="9.9000000000000005E-2"/>
    <n v="0.27100000000000002"/>
    <n v="0.22600000000000001"/>
    <n v="12.177000000000001"/>
    <n v="63.558"/>
    <n v="28.726000000000003"/>
    <n v="670.45400000000006"/>
    <n v="699.18000000000006"/>
    <n v="728.17200000000003"/>
  </r>
  <r>
    <x v="89"/>
    <x v="0"/>
    <s v="Urban"/>
    <n v="225160"/>
    <n v="7850"/>
    <n v="51502"/>
    <n v="10059"/>
    <n v="128720"/>
    <n v="27029"/>
    <n v="190281"/>
    <n v="5.5E-2"/>
    <n v="0.17100000000000001"/>
    <n v="0.13200000000000001"/>
    <n v="431.75"/>
    <n v="2832.61"/>
    <n v="1720.0890000000002"/>
    <n v="22011.120000000003"/>
    <n v="23731.209000000003"/>
    <n v="25117.092000000001"/>
  </r>
  <r>
    <x v="90"/>
    <x v="0"/>
    <s v="Rural"/>
    <n v="44978"/>
    <n v="1645"/>
    <n v="9067"/>
    <n v="1740"/>
    <n v="24914"/>
    <n v="7612"/>
    <n v="35721"/>
    <n v="0.05"/>
    <n v="0.20199999999999999"/>
    <n v="0.159"/>
    <n v="82.25"/>
    <n v="453.35"/>
    <n v="351.47999999999996"/>
    <n v="5032.6279999999997"/>
    <n v="5384.1079999999993"/>
    <n v="5679.6390000000001"/>
  </r>
  <r>
    <x v="91"/>
    <x v="6"/>
    <s v="Urban"/>
    <n v="1025434"/>
    <n v="37669"/>
    <n v="212675"/>
    <n v="41630"/>
    <n v="623031"/>
    <n v="110429"/>
    <n v="877336"/>
    <n v="5.2000000000000005E-2"/>
    <n v="0.14899999999999999"/>
    <n v="0.12"/>
    <n v="1958.7880000000002"/>
    <n v="11059.1"/>
    <n v="6202.87"/>
    <n v="92831.618999999992"/>
    <n v="99034.488999999987"/>
    <n v="105280.31999999999"/>
  </r>
  <r>
    <x v="92"/>
    <x v="0"/>
    <s v="Rural"/>
    <n v="20514"/>
    <n v="575"/>
    <n v="3257"/>
    <n v="564"/>
    <n v="11455"/>
    <n v="4663"/>
    <n v="15276"/>
    <n v="7.0000000000000007E-2"/>
    <n v="0.214"/>
    <n v="0.17800000000000002"/>
    <n v="40.250000000000007"/>
    <n v="227.99"/>
    <n v="120.696"/>
    <n v="2451.37"/>
    <n v="2572.0659999999998"/>
    <n v="2719.1280000000002"/>
  </r>
  <r>
    <x v="93"/>
    <x v="3"/>
    <s v="Rural"/>
    <n v="12579"/>
    <n v="403"/>
    <n v="2328"/>
    <n v="355"/>
    <n v="6719"/>
    <n v="2774"/>
    <n v="9402"/>
    <n v="5.2000000000000005E-2"/>
    <n v="0.185"/>
    <n v="0.14899999999999999"/>
    <n v="20.956000000000003"/>
    <n v="121.05600000000001"/>
    <n v="65.674999999999997"/>
    <n v="1243.0149999999999"/>
    <n v="1308.6899999999998"/>
    <n v="1400.8979999999999"/>
  </r>
  <r>
    <x v="94"/>
    <x v="1"/>
    <s v="Rural"/>
    <n v="53706"/>
    <n v="1047"/>
    <n v="5886"/>
    <n v="8516"/>
    <n v="29913"/>
    <n v="8344"/>
    <n v="44315"/>
    <n v="6.0999999999999999E-2"/>
    <n v="0.16699999999999998"/>
    <n v="0.14800000000000002"/>
    <n v="63.866999999999997"/>
    <n v="359.04599999999999"/>
    <n v="1422.1719999999998"/>
    <n v="4995.4709999999995"/>
    <n v="6417.6429999999991"/>
    <n v="6558.6200000000008"/>
  </r>
  <r>
    <x v="95"/>
    <x v="4"/>
    <s v="Urban"/>
    <n v="126174"/>
    <n v="4964"/>
    <n v="25873"/>
    <n v="5029"/>
    <n v="71159"/>
    <n v="19149"/>
    <n v="102061"/>
    <n v="5.7000000000000002E-2"/>
    <n v="0.21199999999999999"/>
    <n v="0.16699999999999998"/>
    <n v="282.94800000000004"/>
    <n v="1474.761"/>
    <n v="1066.1479999999999"/>
    <n v="15085.707999999999"/>
    <n v="16151.855999999998"/>
    <n v="17044.186999999998"/>
  </r>
  <r>
    <x v="96"/>
    <x v="1"/>
    <s v="Rural"/>
    <n v="70116"/>
    <n v="2063"/>
    <n v="12384"/>
    <n v="2431"/>
    <n v="39106"/>
    <n v="14132"/>
    <n v="53921"/>
    <n v="5.7999999999999996E-2"/>
    <n v="0.22500000000000001"/>
    <n v="0.18100000000000002"/>
    <n v="119.654"/>
    <n v="718.27199999999993"/>
    <n v="546.97500000000002"/>
    <n v="8798.85"/>
    <n v="9345.8250000000007"/>
    <n v="9759.7010000000009"/>
  </r>
  <r>
    <x v="97"/>
    <x v="4"/>
    <s v="Rural"/>
    <n v="82066"/>
    <n v="2799"/>
    <n v="16218"/>
    <n v="3016"/>
    <n v="46317"/>
    <n v="13716"/>
    <n v="65551"/>
    <n v="5.7000000000000002E-2"/>
    <n v="0.22899999999999998"/>
    <n v="0.18"/>
    <n v="159.54300000000001"/>
    <n v="924.42600000000004"/>
    <n v="690.66399999999999"/>
    <n v="10606.592999999999"/>
    <n v="11297.257"/>
    <n v="11799.18"/>
  </r>
  <r>
    <x v="98"/>
    <x v="5"/>
    <s v="Urban"/>
    <n v="37457"/>
    <n v="1147"/>
    <n v="6804"/>
    <n v="1402"/>
    <n v="21117"/>
    <n v="6987"/>
    <n v="29323"/>
    <n v="6.7000000000000004E-2"/>
    <n v="0.20399999999999999"/>
    <n v="0.16699999999999998"/>
    <n v="76.849000000000004"/>
    <n v="455.86800000000005"/>
    <n v="286.00799999999998"/>
    <n v="4307.8679999999995"/>
    <n v="4593.8759999999993"/>
    <n v="4896.9409999999998"/>
  </r>
  <r>
    <x v="99"/>
    <x v="1"/>
    <s v="Rural"/>
    <n v="17921"/>
    <n v="523"/>
    <n v="2811"/>
    <n v="545"/>
    <n v="9754"/>
    <n v="4288"/>
    <n v="13110"/>
    <n v="7.0999999999999994E-2"/>
    <n v="0.19699999999999998"/>
    <n v="0.16500000000000001"/>
    <n v="37.132999999999996"/>
    <n v="199.58099999999999"/>
    <n v="107.36499999999999"/>
    <n v="1921.5379999999998"/>
    <n v="2028.9029999999998"/>
    <n v="2163.1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8512"/>
    <n v="5830"/>
    <n v="30730"/>
    <n v="8585"/>
    <n v="94055"/>
    <n v="29312"/>
    <n v="133370"/>
    <n v="5.4000000000000006E-2"/>
    <n v="0.17499999999999999"/>
    <n v="0.14099999999999999"/>
    <n v="314.82000000000005"/>
    <n v="1659.4200000000003"/>
    <n v="1502.375"/>
    <n v="16459.625"/>
    <n v="17962"/>
    <n v="18805.169999999998"/>
  </r>
  <r>
    <x v="1"/>
    <x v="1"/>
    <s v="Urban"/>
    <n v="38547"/>
    <n v="1125"/>
    <n v="6439"/>
    <n v="1344"/>
    <n v="21840"/>
    <n v="7799"/>
    <n v="29623"/>
    <n v="4.9000000000000002E-2"/>
    <n v="0.16500000000000001"/>
    <n v="0.13400000000000001"/>
    <n v="55.125"/>
    <n v="315.51100000000002"/>
    <n v="221.76000000000002"/>
    <n v="3603.6000000000004"/>
    <n v="3825.3600000000006"/>
    <n v="3969.4820000000004"/>
  </r>
  <r>
    <x v="2"/>
    <x v="1"/>
    <s v="Rural"/>
    <n v="11545"/>
    <n v="312"/>
    <n v="1651"/>
    <n v="399"/>
    <n v="6229"/>
    <n v="2954"/>
    <n v="8279"/>
    <n v="0.08"/>
    <n v="0.215"/>
    <n v="0.183"/>
    <n v="24.96"/>
    <n v="132.08000000000001"/>
    <n v="85.784999999999997"/>
    <n v="1339.2349999999999"/>
    <n v="1425.02"/>
    <n v="1515.057"/>
  </r>
  <r>
    <x v="3"/>
    <x v="2"/>
    <s v="Urban"/>
    <n v="25459"/>
    <n v="759"/>
    <n v="4304"/>
    <n v="965"/>
    <n v="14905"/>
    <n v="4526"/>
    <n v="20174"/>
    <n v="4.0999999999999995E-2"/>
    <n v="0.16300000000000001"/>
    <n v="0.13100000000000001"/>
    <n v="31.118999999999996"/>
    <n v="176.46399999999997"/>
    <n v="157.29500000000002"/>
    <n v="2429.5149999999999"/>
    <n v="2586.81"/>
    <n v="2642.7940000000003"/>
  </r>
  <r>
    <x v="4"/>
    <x v="1"/>
    <s v="Rural"/>
    <n v="27695"/>
    <n v="687"/>
    <n v="4207"/>
    <n v="902"/>
    <n v="14810"/>
    <n v="7089"/>
    <n v="19919"/>
    <n v="5.9000000000000004E-2"/>
    <n v="0.18899999999999997"/>
    <n v="0.157"/>
    <n v="40.533000000000001"/>
    <n v="248.21300000000002"/>
    <n v="170.47799999999998"/>
    <n v="2799.0899999999997"/>
    <n v="2969.5679999999998"/>
    <n v="3127.2829999999999"/>
  </r>
  <r>
    <x v="5"/>
    <x v="1"/>
    <s v="Rural"/>
    <n v="17934"/>
    <n v="402"/>
    <n v="2279"/>
    <n v="609"/>
    <n v="10659"/>
    <n v="3985"/>
    <n v="13547"/>
    <n v="7.400000000000001E-2"/>
    <n v="0.23600000000000002"/>
    <n v="0.2"/>
    <n v="29.748000000000005"/>
    <n v="168.64600000000002"/>
    <n v="143.72400000000002"/>
    <n v="2515.5240000000003"/>
    <n v="2659.2480000000005"/>
    <n v="2709.4"/>
  </r>
  <r>
    <x v="6"/>
    <x v="3"/>
    <s v="Rural"/>
    <n v="47411"/>
    <n v="1391"/>
    <n v="8002"/>
    <n v="1713"/>
    <n v="24524"/>
    <n v="11781"/>
    <n v="34239"/>
    <n v="4.7E-2"/>
    <n v="0.17300000000000001"/>
    <n v="0.13900000000000001"/>
    <n v="65.376999999999995"/>
    <n v="376.09399999999999"/>
    <n v="296.34900000000005"/>
    <n v="4242.652"/>
    <n v="4539.0010000000002"/>
    <n v="4759.2210000000005"/>
  </r>
  <r>
    <x v="7"/>
    <x v="3"/>
    <s v="Rural"/>
    <n v="19582"/>
    <n v="573"/>
    <n v="3137"/>
    <n v="696"/>
    <n v="11199"/>
    <n v="3977"/>
    <n v="15032"/>
    <n v="4.7E-2"/>
    <n v="0.16"/>
    <n v="0.13200000000000001"/>
    <n v="26.931000000000001"/>
    <n v="147.43899999999999"/>
    <n v="111.36"/>
    <n v="1791.8400000000001"/>
    <n v="1903.2"/>
    <n v="1984.2240000000002"/>
  </r>
  <r>
    <x v="8"/>
    <x v="4"/>
    <s v="Rural"/>
    <n v="34090"/>
    <n v="1042"/>
    <n v="5979"/>
    <n v="1250"/>
    <n v="18757"/>
    <n v="7062"/>
    <n v="25986"/>
    <n v="6.7000000000000004E-2"/>
    <n v="0.20300000000000001"/>
    <n v="0.16699999999999998"/>
    <n v="69.814000000000007"/>
    <n v="400.59300000000002"/>
    <n v="253.75000000000003"/>
    <n v="3807.6710000000003"/>
    <n v="4061.4210000000003"/>
    <n v="4339.6619999999994"/>
  </r>
  <r>
    <x v="9"/>
    <x v="3"/>
    <s v="Urban"/>
    <n v="139829"/>
    <n v="3216"/>
    <n v="19494"/>
    <n v="3689"/>
    <n v="70966"/>
    <n v="42464"/>
    <n v="94149"/>
    <n v="5.5999999999999994E-2"/>
    <n v="0.159"/>
    <n v="0.13500000000000001"/>
    <n v="180.09599999999998"/>
    <n v="1091.664"/>
    <n v="586.55100000000004"/>
    <n v="11283.594000000001"/>
    <n v="11870.145"/>
    <n v="12710.115000000002"/>
  </r>
  <r>
    <x v="10"/>
    <x v="1"/>
    <s v="Urban"/>
    <n v="265586"/>
    <n v="7658"/>
    <n v="42133"/>
    <n v="9179"/>
    <n v="152826"/>
    <n v="53790"/>
    <n v="204138"/>
    <n v="4.4000000000000004E-2"/>
    <n v="0.16399999999999998"/>
    <n v="0.13500000000000001"/>
    <n v="336.95200000000006"/>
    <n v="1853.8520000000001"/>
    <n v="1505.3559999999998"/>
    <n v="25063.463999999996"/>
    <n v="26568.819999999996"/>
    <n v="27558.63"/>
  </r>
  <r>
    <x v="11"/>
    <x v="5"/>
    <s v="Urban"/>
    <n v="92156"/>
    <n v="2774"/>
    <n v="15371"/>
    <n v="4446"/>
    <n v="50872"/>
    <n v="18693"/>
    <n v="70689"/>
    <n v="4.2999999999999997E-2"/>
    <n v="0.18"/>
    <n v="0.14699999999999999"/>
    <n v="119.282"/>
    <n v="660.95299999999997"/>
    <n v="800.28"/>
    <n v="9156.9599999999991"/>
    <n v="9957.24"/>
    <n v="10391.282999999999"/>
  </r>
  <r>
    <x v="12"/>
    <x v="0"/>
    <s v="Urban"/>
    <n v="213179"/>
    <n v="7997"/>
    <n v="43696"/>
    <n v="9014"/>
    <n v="123566"/>
    <n v="28906"/>
    <n v="176276"/>
    <n v="3.9E-2"/>
    <n v="0.13300000000000001"/>
    <n v="0.10400000000000001"/>
    <n v="311.88299999999998"/>
    <n v="1704.144"/>
    <n v="1198.8620000000001"/>
    <n v="16434.278000000002"/>
    <n v="17633.140000000003"/>
    <n v="18332.704000000002"/>
  </r>
  <r>
    <x v="13"/>
    <x v="1"/>
    <s v="Urban"/>
    <n v="83844"/>
    <n v="2468"/>
    <n v="13874"/>
    <n v="3466"/>
    <n v="47531"/>
    <n v="16505"/>
    <n v="64871"/>
    <n v="4.4000000000000004E-2"/>
    <n v="0.17199999999999999"/>
    <n v="0.13900000000000001"/>
    <n v="108.59200000000001"/>
    <n v="610.45600000000002"/>
    <n v="596.15199999999993"/>
    <n v="8175.3319999999994"/>
    <n v="8771.4839999999986"/>
    <n v="9017.0690000000013"/>
  </r>
  <r>
    <x v="14"/>
    <x v="3"/>
    <s v="Urban"/>
    <n v="10460"/>
    <n v="296"/>
    <n v="1744"/>
    <n v="408"/>
    <n v="6258"/>
    <n v="1754"/>
    <n v="8410"/>
    <n v="5.9000000000000004E-2"/>
    <n v="0.14300000000000002"/>
    <n v="0.11900000000000001"/>
    <n v="17.464000000000002"/>
    <n v="102.896"/>
    <n v="58.344000000000008"/>
    <n v="894.89400000000012"/>
    <n v="953.23800000000017"/>
    <n v="1000.7900000000001"/>
  </r>
  <r>
    <x v="15"/>
    <x v="3"/>
    <s v="Rural"/>
    <n v="71084"/>
    <n v="1753"/>
    <n v="10286"/>
    <n v="2266"/>
    <n v="38868"/>
    <n v="17911"/>
    <n v="51420"/>
    <n v="5.0999999999999997E-2"/>
    <n v="0.151"/>
    <n v="0.127"/>
    <n v="89.402999999999992"/>
    <n v="524.58600000000001"/>
    <n v="342.166"/>
    <n v="5869.0680000000002"/>
    <n v="6211.2340000000004"/>
    <n v="6530.34"/>
  </r>
  <r>
    <x v="16"/>
    <x v="0"/>
    <s v="Rural"/>
    <n v="23298"/>
    <n v="639"/>
    <n v="3505"/>
    <n v="769"/>
    <n v="13430"/>
    <n v="4955"/>
    <n v="17704"/>
    <n v="0.06"/>
    <n v="0.153"/>
    <n v="0.129"/>
    <n v="38.339999999999996"/>
    <n v="210.29999999999998"/>
    <n v="117.657"/>
    <n v="2054.79"/>
    <n v="2172.4470000000001"/>
    <n v="2283.8160000000003"/>
  </r>
  <r>
    <x v="17"/>
    <x v="5"/>
    <s v="Urban"/>
    <n v="158579"/>
    <n v="5124"/>
    <n v="29145"/>
    <n v="6530"/>
    <n v="89401"/>
    <n v="28379"/>
    <n v="125076"/>
    <n v="4.8000000000000001E-2"/>
    <n v="0.16500000000000001"/>
    <n v="0.13200000000000001"/>
    <n v="245.952"/>
    <n v="1398.96"/>
    <n v="1077.45"/>
    <n v="14751.165000000001"/>
    <n v="15828.615000000002"/>
    <n v="16510.031999999999"/>
  </r>
  <r>
    <x v="18"/>
    <x v="0"/>
    <s v="Urban"/>
    <n v="76264"/>
    <n v="2050"/>
    <n v="12017"/>
    <n v="2332"/>
    <n v="40020"/>
    <n v="19845"/>
    <n v="54369"/>
    <n v="7.2000000000000008E-2"/>
    <n v="0.16899999999999998"/>
    <n v="0.14199999999999999"/>
    <n v="147.60000000000002"/>
    <n v="865.22400000000005"/>
    <n v="394.10799999999995"/>
    <n v="6763.3799999999992"/>
    <n v="7157.4879999999994"/>
    <n v="7720.3979999999992"/>
  </r>
  <r>
    <x v="19"/>
    <x v="1"/>
    <s v="Rural"/>
    <n v="29621"/>
    <n v="750"/>
    <n v="4234"/>
    <n v="860"/>
    <n v="14927"/>
    <n v="8850"/>
    <n v="20021"/>
    <n v="5.4000000000000006E-2"/>
    <n v="0.16800000000000001"/>
    <n v="0.14000000000000001"/>
    <n v="40.500000000000007"/>
    <n v="228.63600000000002"/>
    <n v="144.48000000000002"/>
    <n v="2507.7360000000003"/>
    <n v="2652.2160000000003"/>
    <n v="2802.94"/>
  </r>
  <r>
    <x v="20"/>
    <x v="3"/>
    <s v="Rural"/>
    <n v="14036"/>
    <n v="413"/>
    <n v="2396"/>
    <n v="476"/>
    <n v="7315"/>
    <n v="3436"/>
    <n v="10187"/>
    <n v="5.5E-2"/>
    <n v="0.14400000000000002"/>
    <n v="0.11900000000000001"/>
    <n v="22.715"/>
    <n v="131.78"/>
    <n v="68.544000000000011"/>
    <n v="1053.3600000000001"/>
    <n v="1121.9040000000002"/>
    <n v="1212.2530000000002"/>
  </r>
  <r>
    <x v="21"/>
    <x v="1"/>
    <s v="Rural"/>
    <n v="11806"/>
    <n v="304"/>
    <n v="1724"/>
    <n v="344"/>
    <n v="5853"/>
    <n v="3581"/>
    <n v="7921"/>
    <n v="7.4999999999999997E-2"/>
    <n v="0.184"/>
    <n v="0.156"/>
    <n v="22.8"/>
    <n v="129.29999999999998"/>
    <n v="63.295999999999999"/>
    <n v="1076.952"/>
    <n v="1140.248"/>
    <n v="1235.6759999999999"/>
  </r>
  <r>
    <x v="22"/>
    <x v="5"/>
    <s v="Rural"/>
    <n v="98957"/>
    <n v="3249"/>
    <n v="17615"/>
    <n v="4342"/>
    <n v="55146"/>
    <n v="18605"/>
    <n v="77103"/>
    <n v="3.7999999999999999E-2"/>
    <n v="0.15"/>
    <n v="0.11900000000000001"/>
    <n v="123.462"/>
    <n v="669.37"/>
    <n v="651.29999999999995"/>
    <n v="8271.9"/>
    <n v="8923.1999999999989"/>
    <n v="9175.2570000000014"/>
  </r>
  <r>
    <x v="23"/>
    <x v="3"/>
    <s v="Rural"/>
    <n v="56474"/>
    <n v="1793"/>
    <n v="9924"/>
    <n v="2315"/>
    <n v="31627"/>
    <n v="10815"/>
    <n v="43866"/>
    <n v="5.5999999999999994E-2"/>
    <n v="0.183"/>
    <n v="0.14800000000000002"/>
    <n v="100.40799999999999"/>
    <n v="555.74399999999991"/>
    <n v="423.64499999999998"/>
    <n v="5787.741"/>
    <n v="6211.3860000000004"/>
    <n v="6492.1680000000006"/>
  </r>
  <r>
    <x v="24"/>
    <x v="3"/>
    <s v="Urban"/>
    <n v="103580"/>
    <n v="4233"/>
    <n v="22296"/>
    <n v="4969"/>
    <n v="54198"/>
    <n v="17884"/>
    <n v="81463"/>
    <n v="5.5E-2"/>
    <n v="0.14000000000000001"/>
    <n v="0.11599999999999999"/>
    <n v="232.815"/>
    <n v="1226.28"/>
    <n v="695.66000000000008"/>
    <n v="7587.7200000000012"/>
    <n v="8283.380000000001"/>
    <n v="9449.7079999999987"/>
  </r>
  <r>
    <x v="25"/>
    <x v="6"/>
    <s v="Urban"/>
    <n v="329131"/>
    <n v="15760"/>
    <n v="71969"/>
    <n v="15219"/>
    <n v="183295"/>
    <n v="42888"/>
    <n v="270483"/>
    <n v="3.7999999999999999E-2"/>
    <n v="0.13699999999999998"/>
    <n v="0.10800000000000001"/>
    <n v="598.88"/>
    <n v="2734.8220000000001"/>
    <n v="2085.0029999999997"/>
    <n v="25111.414999999997"/>
    <n v="27196.417999999998"/>
    <n v="29212.164000000004"/>
  </r>
  <r>
    <x v="26"/>
    <x v="3"/>
    <s v="Urban"/>
    <n v="27978"/>
    <n v="849"/>
    <n v="4763"/>
    <n v="1031"/>
    <n v="16733"/>
    <n v="4602"/>
    <n v="22527"/>
    <n v="6.7000000000000004E-2"/>
    <n v="0.151"/>
    <n v="0.128"/>
    <n v="56.883000000000003"/>
    <n v="319.12100000000004"/>
    <n v="155.68099999999998"/>
    <n v="2526.683"/>
    <n v="2682.364"/>
    <n v="2883.4560000000001"/>
  </r>
  <r>
    <x v="27"/>
    <x v="3"/>
    <s v="Rural"/>
    <n v="37641"/>
    <n v="1075"/>
    <n v="5894"/>
    <n v="942"/>
    <n v="21584"/>
    <n v="8146"/>
    <n v="28420"/>
    <n v="5.7999999999999996E-2"/>
    <n v="0.154"/>
    <n v="0.13"/>
    <n v="62.349999999999994"/>
    <n v="341.85199999999998"/>
    <n v="145.06800000000001"/>
    <n v="3323.9360000000001"/>
    <n v="3469.0040000000004"/>
    <n v="3694.6"/>
  </r>
  <r>
    <x v="28"/>
    <x v="0"/>
    <s v="Urban"/>
    <n v="168798"/>
    <n v="5530"/>
    <n v="30160"/>
    <n v="6211"/>
    <n v="96615"/>
    <n v="30282"/>
    <n v="132986"/>
    <n v="0.05"/>
    <n v="0.16"/>
    <n v="0.129"/>
    <n v="276.5"/>
    <n v="1508"/>
    <n v="993.76"/>
    <n v="15458.4"/>
    <n v="16452.16"/>
    <n v="17155.194"/>
  </r>
  <r>
    <x v="29"/>
    <x v="0"/>
    <s v="Urban"/>
    <n v="43700"/>
    <n v="1248"/>
    <n v="7288"/>
    <n v="1601"/>
    <n v="24551"/>
    <n v="9012"/>
    <n v="33440"/>
    <n v="0.06"/>
    <n v="0.15"/>
    <n v="0.125"/>
    <n v="74.88"/>
    <n v="437.28"/>
    <n v="240.14999999999998"/>
    <n v="3682.65"/>
    <n v="3922.8"/>
    <n v="4180"/>
  </r>
  <r>
    <x v="30"/>
    <x v="4"/>
    <s v="Rural"/>
    <n v="59429"/>
    <n v="2089"/>
    <n v="11938"/>
    <n v="2428"/>
    <n v="32301"/>
    <n v="10673"/>
    <n v="46667"/>
    <n v="7.6999999999999999E-2"/>
    <n v="0.245"/>
    <n v="0.19600000000000001"/>
    <n v="160.85300000000001"/>
    <n v="919.226"/>
    <n v="594.86"/>
    <n v="7913.7449999999999"/>
    <n v="8508.6049999999996"/>
    <n v="9146.732"/>
  </r>
  <r>
    <x v="31"/>
    <x v="6"/>
    <s v="Urban"/>
    <n v="316293"/>
    <n v="12923"/>
    <n v="61614"/>
    <n v="14881"/>
    <n v="186122"/>
    <n v="40753"/>
    <n v="262617"/>
    <n v="5.4000000000000006E-2"/>
    <n v="0.16200000000000001"/>
    <n v="0.13400000000000001"/>
    <n v="697.8420000000001"/>
    <n v="3327.1560000000004"/>
    <n v="2410.7220000000002"/>
    <n v="30151.763999999999"/>
    <n v="32562.486000000001"/>
    <n v="35190.678"/>
  </r>
  <r>
    <x v="32"/>
    <x v="4"/>
    <s v="Urban"/>
    <n v="52849"/>
    <n v="1777"/>
    <n v="10219"/>
    <n v="2043"/>
    <n v="28159"/>
    <n v="10651"/>
    <n v="40421"/>
    <n v="3.3000000000000002E-2"/>
    <n v="0.155"/>
    <n v="0.121"/>
    <n v="58.641000000000005"/>
    <n v="337.22700000000003"/>
    <n v="316.66500000000002"/>
    <n v="4364.6449999999995"/>
    <n v="4681.3099999999995"/>
    <n v="4890.9409999999998"/>
  </r>
  <r>
    <x v="33"/>
    <x v="0"/>
    <s v="Urban"/>
    <n v="381379"/>
    <n v="13644"/>
    <n v="73946"/>
    <n v="16676"/>
    <n v="216202"/>
    <n v="60911"/>
    <n v="306824"/>
    <n v="4.4000000000000004E-2"/>
    <n v="0.16300000000000001"/>
    <n v="0.129"/>
    <n v="600.33600000000001"/>
    <n v="3253.6240000000003"/>
    <n v="2718.1880000000001"/>
    <n v="35240.925999999999"/>
    <n v="37959.114000000001"/>
    <n v="39580.296000000002"/>
  </r>
  <r>
    <x v="34"/>
    <x v="0"/>
    <s v="Urban"/>
    <n v="68803"/>
    <n v="2238"/>
    <n v="12517"/>
    <n v="2706"/>
    <n v="39432"/>
    <n v="11910"/>
    <n v="54655"/>
    <n v="6.4000000000000001E-2"/>
    <n v="0.17399999999999999"/>
    <n v="0.14400000000000002"/>
    <n v="143.232"/>
    <n v="801.08799999999997"/>
    <n v="470.84399999999999"/>
    <n v="6861.1679999999997"/>
    <n v="7332.0119999999997"/>
    <n v="7870.3200000000006"/>
  </r>
  <r>
    <x v="35"/>
    <x v="5"/>
    <s v="Urban"/>
    <n v="223671"/>
    <n v="7819"/>
    <n v="41916"/>
    <n v="8930"/>
    <n v="128592"/>
    <n v="36414"/>
    <n v="179438"/>
    <n v="4.4000000000000004E-2"/>
    <n v="0.14899999999999999"/>
    <n v="0.12"/>
    <n v="344.03600000000006"/>
    <n v="1844.3040000000001"/>
    <n v="1330.57"/>
    <n v="19160.207999999999"/>
    <n v="20490.777999999998"/>
    <n v="21532.559999999998"/>
  </r>
  <r>
    <x v="36"/>
    <x v="3"/>
    <s v="Urban"/>
    <n v="12106"/>
    <n v="339"/>
    <n v="1972"/>
    <n v="430"/>
    <n v="6970"/>
    <n v="2395"/>
    <n v="9372"/>
    <n v="0.06"/>
    <n v="0.13800000000000001"/>
    <n v="0.11699999999999999"/>
    <n v="20.34"/>
    <n v="118.32"/>
    <n v="59.34"/>
    <n v="961.86000000000013"/>
    <n v="1021.2000000000002"/>
    <n v="1096.5239999999999"/>
  </r>
  <r>
    <x v="37"/>
    <x v="1"/>
    <s v="Rural"/>
    <n v="8768"/>
    <n v="258"/>
    <n v="1496"/>
    <n v="351"/>
    <n v="4517"/>
    <n v="2146"/>
    <n v="6364"/>
    <n v="7.2000000000000008E-2"/>
    <n v="0.22800000000000001"/>
    <n v="0.18600000000000003"/>
    <n v="18.576000000000001"/>
    <n v="107.71200000000002"/>
    <n v="80.028000000000006"/>
    <n v="1029.876"/>
    <n v="1109.904"/>
    <n v="1183.7040000000002"/>
  </r>
  <r>
    <x v="38"/>
    <x v="0"/>
    <s v="Urban"/>
    <n v="62272"/>
    <n v="1813"/>
    <n v="10259"/>
    <n v="2641"/>
    <n v="37056"/>
    <n v="10503"/>
    <n v="49956"/>
    <n v="4.9000000000000002E-2"/>
    <n v="0.13900000000000001"/>
    <n v="0.115"/>
    <n v="88.837000000000003"/>
    <n v="502.69100000000003"/>
    <n v="367.09900000000005"/>
    <n v="5150.7840000000006"/>
    <n v="5517.8830000000007"/>
    <n v="5744.9400000000005"/>
  </r>
  <r>
    <x v="39"/>
    <x v="4"/>
    <s v="Rural"/>
    <n v="21301"/>
    <n v="631"/>
    <n v="3756"/>
    <n v="816"/>
    <n v="12558"/>
    <n v="3540"/>
    <n v="17130"/>
    <n v="7.4999999999999997E-2"/>
    <n v="0.23300000000000001"/>
    <n v="0.188"/>
    <n v="47.324999999999996"/>
    <n v="281.7"/>
    <n v="190.12800000000001"/>
    <n v="2926.0140000000001"/>
    <n v="3116.1420000000003"/>
    <n v="3220.44"/>
  </r>
  <r>
    <x v="40"/>
    <x v="2"/>
    <s v="Urban"/>
    <n v="538851"/>
    <n v="18946"/>
    <n v="97590"/>
    <n v="28060"/>
    <n v="310749"/>
    <n v="83506"/>
    <n v="436399"/>
    <n v="4.4000000000000004E-2"/>
    <n v="0.14699999999999999"/>
    <n v="0.11900000000000001"/>
    <n v="833.62400000000014"/>
    <n v="4293.96"/>
    <n v="4124.82"/>
    <n v="45680.102999999996"/>
    <n v="49804.922999999995"/>
    <n v="51931.481000000007"/>
  </r>
  <r>
    <x v="41"/>
    <x v="0"/>
    <s v="Rural"/>
    <n v="51363"/>
    <n v="1761"/>
    <n v="9082"/>
    <n v="1828"/>
    <n v="28042"/>
    <n v="10650"/>
    <n v="38952"/>
    <n v="0.05"/>
    <n v="0.16699999999999998"/>
    <n v="0.13500000000000001"/>
    <n v="88.050000000000011"/>
    <n v="454.1"/>
    <n v="305.27599999999995"/>
    <n v="4683.0139999999992"/>
    <n v="4988.2899999999991"/>
    <n v="5258.52"/>
  </r>
  <r>
    <x v="42"/>
    <x v="2"/>
    <s v="Urban"/>
    <n v="136031"/>
    <n v="5723"/>
    <n v="30774"/>
    <n v="6460"/>
    <n v="75489"/>
    <n v="17585"/>
    <n v="112723"/>
    <n v="5.0999999999999997E-2"/>
    <n v="0.16600000000000001"/>
    <n v="0.13"/>
    <n v="291.87299999999999"/>
    <n v="1569.4739999999999"/>
    <n v="1072.3600000000001"/>
    <n v="12531.174000000001"/>
    <n v="13603.534000000001"/>
    <n v="14653.99"/>
  </r>
  <r>
    <x v="43"/>
    <x v="1"/>
    <s v="Urban"/>
    <n v="63455"/>
    <n v="1889"/>
    <n v="9531"/>
    <n v="2000"/>
    <n v="33808"/>
    <n v="16227"/>
    <n v="45339"/>
    <n v="4.2999999999999997E-2"/>
    <n v="0.14499999999999999"/>
    <n v="0.12"/>
    <n v="81.22699999999999"/>
    <n v="409.83299999999997"/>
    <n v="290"/>
    <n v="4902.16"/>
    <n v="5192.16"/>
    <n v="5440.6799999999994"/>
  </r>
  <r>
    <x v="44"/>
    <x v="1"/>
    <s v="Urban"/>
    <n v="118926"/>
    <n v="3322"/>
    <n v="18772"/>
    <n v="3596"/>
    <n v="61200"/>
    <n v="32036"/>
    <n v="83568"/>
    <n v="5.9000000000000004E-2"/>
    <n v="0.185"/>
    <n v="0.152"/>
    <n v="195.99800000000002"/>
    <n v="1107.548"/>
    <n v="665.26"/>
    <n v="11322"/>
    <n v="11987.26"/>
    <n v="12702.335999999999"/>
  </r>
  <r>
    <x v="45"/>
    <x v="3"/>
    <s v="Rural"/>
    <n v="24037"/>
    <n v="693"/>
    <n v="3959"/>
    <n v="1284"/>
    <n v="13472"/>
    <n v="4629"/>
    <n v="18715"/>
    <n v="3.9E-2"/>
    <n v="0.14899999999999999"/>
    <n v="0.11900000000000001"/>
    <n v="27.027000000000001"/>
    <n v="154.40100000000001"/>
    <n v="191.316"/>
    <n v="2007.328"/>
    <n v="2198.6439999999998"/>
    <n v="2227.085"/>
  </r>
  <r>
    <x v="46"/>
    <x v="2"/>
    <s v="Urban"/>
    <n v="56778"/>
    <n v="2753"/>
    <n v="14349"/>
    <n v="2490"/>
    <n v="31595"/>
    <n v="5591"/>
    <n v="48434"/>
    <n v="5.5999999999999994E-2"/>
    <n v="0.20399999999999999"/>
    <n v="0.158"/>
    <n v="154.16799999999998"/>
    <n v="803.54399999999987"/>
    <n v="507.96"/>
    <n v="6445.3799999999992"/>
    <n v="6953.3399999999992"/>
    <n v="7652.5720000000001"/>
  </r>
  <r>
    <x v="47"/>
    <x v="3"/>
    <s v="Rural"/>
    <n v="5424"/>
    <n v="121"/>
    <n v="788"/>
    <n v="150"/>
    <n v="3239"/>
    <n v="1126"/>
    <n v="4177"/>
    <n v="6.9000000000000006E-2"/>
    <n v="0.184"/>
    <n v="0.157"/>
    <n v="8.3490000000000002"/>
    <n v="54.372000000000007"/>
    <n v="27.599999999999998"/>
    <n v="595.976"/>
    <n v="623.57600000000002"/>
    <n v="655.78899999999999"/>
  </r>
  <r>
    <x v="48"/>
    <x v="5"/>
    <s v="Urban"/>
    <n v="182424"/>
    <n v="5928"/>
    <n v="33331"/>
    <n v="7604"/>
    <n v="106357"/>
    <n v="29204"/>
    <n v="147292"/>
    <n v="4.4999999999999998E-2"/>
    <n v="0.14300000000000002"/>
    <n v="0.115"/>
    <n v="266.76"/>
    <n v="1499.895"/>
    <n v="1087.3720000000001"/>
    <n v="15209.051000000001"/>
    <n v="16296.423000000001"/>
    <n v="16938.580000000002"/>
  </r>
  <r>
    <x v="49"/>
    <x v="1"/>
    <s v="Rural"/>
    <n v="44909"/>
    <n v="1189"/>
    <n v="6361"/>
    <n v="4171"/>
    <n v="24435"/>
    <n v="8753"/>
    <n v="34967"/>
    <n v="7.6999999999999999E-2"/>
    <n v="0.214"/>
    <n v="0.182"/>
    <n v="91.552999999999997"/>
    <n v="489.79699999999997"/>
    <n v="892.59399999999994"/>
    <n v="5229.09"/>
    <n v="6121.6840000000002"/>
    <n v="6363.9939999999997"/>
  </r>
  <r>
    <x v="50"/>
    <x v="6"/>
    <s v="Urban"/>
    <n v="204784"/>
    <n v="7453"/>
    <n v="42346"/>
    <n v="8589"/>
    <n v="118527"/>
    <n v="27869"/>
    <n v="169462"/>
    <n v="5.9000000000000004E-2"/>
    <n v="0.17499999999999999"/>
    <n v="0.14000000000000001"/>
    <n v="439.72700000000003"/>
    <n v="2498.4140000000002"/>
    <n v="1503.0749999999998"/>
    <n v="20742.224999999999"/>
    <n v="22245.3"/>
    <n v="23724.680000000004"/>
  </r>
  <r>
    <x v="51"/>
    <x v="3"/>
    <s v="Urban"/>
    <n v="10102"/>
    <n v="310"/>
    <n v="1654"/>
    <n v="328"/>
    <n v="5637"/>
    <n v="2173"/>
    <n v="7619"/>
    <n v="0.06"/>
    <n v="0.18600000000000003"/>
    <n v="0.156"/>
    <n v="18.599999999999998"/>
    <n v="99.24"/>
    <n v="61.00800000000001"/>
    <n v="1048.4820000000002"/>
    <n v="1109.4900000000002"/>
    <n v="1188.5640000000001"/>
  </r>
  <r>
    <x v="52"/>
    <x v="2"/>
    <s v="Rural"/>
    <n v="60452"/>
    <n v="2366"/>
    <n v="12559"/>
    <n v="2445"/>
    <n v="33034"/>
    <n v="10048"/>
    <n v="48038"/>
    <n v="5.5E-2"/>
    <n v="0.19"/>
    <n v="0.15"/>
    <n v="130.13"/>
    <n v="690.745"/>
    <n v="464.55"/>
    <n v="6276.46"/>
    <n v="6741.01"/>
    <n v="7205.7"/>
  </r>
  <r>
    <x v="53"/>
    <x v="4"/>
    <s v="Rural"/>
    <n v="57118"/>
    <n v="1944"/>
    <n v="10507"/>
    <n v="2213"/>
    <n v="31092"/>
    <n v="11362"/>
    <n v="43812"/>
    <n v="4.4000000000000004E-2"/>
    <n v="0.16899999999999998"/>
    <n v="0.13500000000000001"/>
    <n v="85.536000000000016"/>
    <n v="462.30800000000005"/>
    <n v="373.99699999999996"/>
    <n v="5254.5479999999998"/>
    <n v="5628.5450000000001"/>
    <n v="5914.6200000000008"/>
  </r>
  <r>
    <x v="54"/>
    <x v="5"/>
    <s v="Urban"/>
    <n v="86039"/>
    <n v="2521"/>
    <n v="14719"/>
    <n v="3183"/>
    <n v="50217"/>
    <n v="15399"/>
    <n v="68119"/>
    <n v="5.5E-2"/>
    <n v="0.152"/>
    <n v="0.127"/>
    <n v="138.655"/>
    <n v="809.54499999999996"/>
    <n v="483.81599999999997"/>
    <n v="7632.9839999999995"/>
    <n v="8116.7999999999993"/>
    <n v="8651.1129999999994"/>
  </r>
  <r>
    <x v="55"/>
    <x v="1"/>
    <s v="Rural"/>
    <n v="36640"/>
    <n v="1086"/>
    <n v="5602"/>
    <n v="1311"/>
    <n v="18090"/>
    <n v="10551"/>
    <n v="25003"/>
    <n v="6.7000000000000004E-2"/>
    <n v="0.188"/>
    <n v="0.156"/>
    <n v="72.762"/>
    <n v="375.334"/>
    <n v="246.46799999999999"/>
    <n v="3400.92"/>
    <n v="3647.3879999999999"/>
    <n v="3900.4679999999998"/>
  </r>
  <r>
    <x v="56"/>
    <x v="1"/>
    <s v="Urban"/>
    <n v="22794"/>
    <n v="599"/>
    <n v="3385"/>
    <n v="1369"/>
    <n v="12206"/>
    <n v="5235"/>
    <n v="16960"/>
    <n v="5.2999999999999999E-2"/>
    <n v="0.15"/>
    <n v="0.126"/>
    <n v="31.747"/>
    <n v="179.405"/>
    <n v="205.35"/>
    <n v="1830.8999999999999"/>
    <n v="2036.2499999999998"/>
    <n v="2136.96"/>
  </r>
  <r>
    <x v="57"/>
    <x v="3"/>
    <s v="Rural"/>
    <n v="23181"/>
    <n v="773"/>
    <n v="3885"/>
    <n v="772"/>
    <n v="12414"/>
    <n v="5337"/>
    <n v="17071"/>
    <n v="0.04"/>
    <n v="0.13400000000000001"/>
    <n v="0.109"/>
    <n v="30.92"/>
    <n v="155.4"/>
    <n v="103.44800000000001"/>
    <n v="1663.4760000000001"/>
    <n v="1766.9240000000002"/>
    <n v="1860.739"/>
  </r>
  <r>
    <x v="58"/>
    <x v="1"/>
    <s v="Rural"/>
    <n v="46578"/>
    <n v="1384"/>
    <n v="7717"/>
    <n v="1685"/>
    <n v="26019"/>
    <n v="9773"/>
    <n v="35421"/>
    <n v="4.2000000000000003E-2"/>
    <n v="0.16"/>
    <n v="0.129"/>
    <n v="58.128"/>
    <n v="324.11400000000003"/>
    <n v="269.60000000000002"/>
    <n v="4163.04"/>
    <n v="4432.6400000000003"/>
    <n v="4569.3090000000002"/>
  </r>
  <r>
    <x v="59"/>
    <x v="0"/>
    <s v="Urban"/>
    <n v="1115571"/>
    <n v="44740"/>
    <n v="218529"/>
    <n v="40727"/>
    <n v="682224"/>
    <n v="129351"/>
    <n v="941480"/>
    <n v="0.05"/>
    <n v="0.157"/>
    <n v="0.127"/>
    <n v="2237"/>
    <n v="10926.45"/>
    <n v="6394.1390000000001"/>
    <n v="107109.16800000001"/>
    <n v="113503.307"/>
    <n v="119567.96"/>
  </r>
  <r>
    <x v="60"/>
    <x v="1"/>
    <s v="Rural"/>
    <n v="15239"/>
    <n v="440"/>
    <n v="2306"/>
    <n v="519"/>
    <n v="8340"/>
    <n v="3634"/>
    <n v="11165"/>
    <n v="5.7999999999999996E-2"/>
    <n v="0.16899999999999998"/>
    <n v="0.14199999999999999"/>
    <n v="25.52"/>
    <n v="133.74799999999999"/>
    <n v="87.710999999999999"/>
    <n v="1409.4599999999998"/>
    <n v="1497.1709999999998"/>
    <n v="1585.4299999999998"/>
  </r>
  <r>
    <x v="61"/>
    <x v="2"/>
    <s v="Rural"/>
    <n v="28007"/>
    <n v="878"/>
    <n v="5068"/>
    <n v="1203"/>
    <n v="15033"/>
    <n v="5825"/>
    <n v="21304"/>
    <n v="5.5999999999999994E-2"/>
    <n v="0.20600000000000002"/>
    <n v="0.16300000000000001"/>
    <n v="49.167999999999992"/>
    <n v="283.80799999999999"/>
    <n v="247.81800000000001"/>
    <n v="3096.7980000000002"/>
    <n v="3344.6160000000004"/>
    <n v="3472.5520000000001"/>
  </r>
  <r>
    <x v="62"/>
    <x v="2"/>
    <s v="Rural"/>
    <n v="101088"/>
    <n v="3441"/>
    <n v="17202"/>
    <n v="3503"/>
    <n v="50194"/>
    <n v="26748"/>
    <n v="70899"/>
    <n v="5.5999999999999994E-2"/>
    <n v="0.14400000000000002"/>
    <n v="0.11900000000000001"/>
    <n v="192.69599999999997"/>
    <n v="963.3119999999999"/>
    <n v="504.43200000000007"/>
    <n v="7227.9360000000006"/>
    <n v="7732.3680000000004"/>
    <n v="8436.9809999999998"/>
  </r>
  <r>
    <x v="63"/>
    <x v="3"/>
    <s v="Urban"/>
    <n v="95612"/>
    <n v="3295"/>
    <n v="16764"/>
    <n v="3697"/>
    <n v="53728"/>
    <n v="18128"/>
    <n v="74189"/>
    <n v="4.4000000000000004E-2"/>
    <n v="0.153"/>
    <n v="0.12300000000000001"/>
    <n v="144.98000000000002"/>
    <n v="737.6160000000001"/>
    <n v="565.64099999999996"/>
    <n v="8220.384"/>
    <n v="8786.0249999999996"/>
    <n v="9125.2470000000012"/>
  </r>
  <r>
    <x v="64"/>
    <x v="3"/>
    <s v="Urban"/>
    <n v="237689"/>
    <n v="7002"/>
    <n v="36564"/>
    <n v="12414"/>
    <n v="140099"/>
    <n v="41610"/>
    <n v="189077"/>
    <n v="0.05"/>
    <n v="0.14499999999999999"/>
    <n v="0.12300000000000001"/>
    <n v="350.1"/>
    <n v="1828.2"/>
    <n v="1800.03"/>
    <n v="20314.355"/>
    <n v="22114.384999999998"/>
    <n v="23256.471000000001"/>
  </r>
  <r>
    <x v="65"/>
    <x v="3"/>
    <s v="Rural"/>
    <n v="20628"/>
    <n v="618"/>
    <n v="3156"/>
    <n v="617"/>
    <n v="11369"/>
    <n v="4868"/>
    <n v="15142"/>
    <n v="4.2000000000000003E-2"/>
    <n v="0.13800000000000001"/>
    <n v="0.115"/>
    <n v="25.956000000000003"/>
    <n v="132.55200000000002"/>
    <n v="85.146000000000001"/>
    <n v="1568.922"/>
    <n v="1654.068"/>
    <n v="1741.3300000000002"/>
  </r>
  <r>
    <x v="66"/>
    <x v="3"/>
    <s v="Urban"/>
    <n v="201213"/>
    <n v="11449"/>
    <n v="49761"/>
    <n v="13142"/>
    <n v="107399"/>
    <n v="19462"/>
    <n v="170302"/>
    <n v="3.3000000000000002E-2"/>
    <n v="0.11199999999999999"/>
    <n v="8.8000000000000009E-2"/>
    <n v="377.81700000000001"/>
    <n v="1642.1130000000001"/>
    <n v="1471.9039999999998"/>
    <n v="12028.687999999998"/>
    <n v="13500.591999999999"/>
    <n v="14986.576000000001"/>
  </r>
  <r>
    <x v="67"/>
    <x v="0"/>
    <s v="Urban"/>
    <n v="145910"/>
    <n v="3605"/>
    <n v="22517"/>
    <n v="12391"/>
    <n v="85981"/>
    <n v="21416"/>
    <n v="120889"/>
    <n v="0.05"/>
    <n v="0.125"/>
    <n v="0.105"/>
    <n v="180.25"/>
    <n v="1125.8500000000001"/>
    <n v="1548.875"/>
    <n v="10747.625"/>
    <n v="12296.5"/>
    <n v="12693.344999999999"/>
  </r>
  <r>
    <x v="68"/>
    <x v="3"/>
    <s v="Urban"/>
    <n v="13292"/>
    <n v="282"/>
    <n v="1717"/>
    <n v="331"/>
    <n v="7109"/>
    <n v="3853"/>
    <n v="9157"/>
    <n v="6.3E-2"/>
    <n v="0.14699999999999999"/>
    <n v="0.127"/>
    <n v="17.766000000000002"/>
    <n v="108.17100000000001"/>
    <n v="48.656999999999996"/>
    <n v="1045.0229999999999"/>
    <n v="1093.6799999999998"/>
    <n v="1162.9390000000001"/>
  </r>
  <r>
    <x v="69"/>
    <x v="3"/>
    <s v="Rural"/>
    <n v="39816"/>
    <n v="1474"/>
    <n v="7675"/>
    <n v="2431"/>
    <n v="21929"/>
    <n v="6307"/>
    <n v="32035"/>
    <n v="4.4000000000000004E-2"/>
    <n v="0.153"/>
    <n v="0.122"/>
    <n v="64.856000000000009"/>
    <n v="337.70000000000005"/>
    <n v="371.94299999999998"/>
    <n v="3355.1369999999997"/>
    <n v="3727.08"/>
    <n v="3908.27"/>
  </r>
  <r>
    <x v="70"/>
    <x v="3"/>
    <s v="Urban"/>
    <n v="63638"/>
    <n v="1999"/>
    <n v="10974"/>
    <n v="2469"/>
    <n v="36506"/>
    <n v="11690"/>
    <n v="49949"/>
    <n v="5.7000000000000002E-2"/>
    <n v="0.16800000000000001"/>
    <n v="0.13699999999999998"/>
    <n v="113.943"/>
    <n v="625.51800000000003"/>
    <n v="414.79200000000003"/>
    <n v="6133.0080000000007"/>
    <n v="6547.8000000000011"/>
    <n v="6843.012999999999"/>
  </r>
  <r>
    <x v="71"/>
    <x v="3"/>
    <s v="Rural"/>
    <n v="13785"/>
    <n v="390"/>
    <n v="2137"/>
    <n v="429"/>
    <n v="7067"/>
    <n v="3762"/>
    <n v="9633"/>
    <n v="6.4000000000000001E-2"/>
    <n v="0.14499999999999999"/>
    <n v="0.124"/>
    <n v="24.96"/>
    <n v="136.768"/>
    <n v="62.204999999999998"/>
    <n v="1024.7149999999999"/>
    <n v="1086.9199999999998"/>
    <n v="1194.492"/>
  </r>
  <r>
    <x v="72"/>
    <x v="0"/>
    <s v="Urban"/>
    <n v="40145"/>
    <n v="1356"/>
    <n v="6904"/>
    <n v="1325"/>
    <n v="22688"/>
    <n v="7872"/>
    <n v="30917"/>
    <n v="4.7E-2"/>
    <n v="0.14199999999999999"/>
    <n v="0.11699999999999999"/>
    <n v="63.731999999999999"/>
    <n v="324.488"/>
    <n v="188.14999999999998"/>
    <n v="3221.6959999999999"/>
    <n v="3409.846"/>
    <n v="3617.2889999999998"/>
  </r>
  <r>
    <x v="73"/>
    <x v="3"/>
    <s v="Urban"/>
    <n v="180894"/>
    <n v="6201"/>
    <n v="32826"/>
    <n v="15325"/>
    <n v="102482"/>
    <n v="24060"/>
    <n v="150633"/>
    <n v="0.04"/>
    <n v="0.13200000000000001"/>
    <n v="0.10800000000000001"/>
    <n v="248.04"/>
    <n v="1313.04"/>
    <n v="2022.9"/>
    <n v="13527.624"/>
    <n v="15550.523999999999"/>
    <n v="16268.364000000001"/>
  </r>
  <r>
    <x v="74"/>
    <x v="1"/>
    <s v="Rural"/>
    <n v="21614"/>
    <n v="506"/>
    <n v="2882"/>
    <n v="687"/>
    <n v="11061"/>
    <n v="6478"/>
    <n v="14630"/>
    <n v="7.400000000000001E-2"/>
    <n v="0.16399999999999998"/>
    <n v="0.14300000000000002"/>
    <n v="37.444000000000003"/>
    <n v="213.26800000000003"/>
    <n v="112.66799999999999"/>
    <n v="1814.0039999999997"/>
    <n v="1926.6719999999996"/>
    <n v="2092.09"/>
  </r>
  <r>
    <x v="75"/>
    <x v="2"/>
    <s v="Urban"/>
    <n v="144125"/>
    <n v="4815"/>
    <n v="26439"/>
    <n v="6068"/>
    <n v="81233"/>
    <n v="25570"/>
    <n v="113740"/>
    <n v="6.2E-2"/>
    <n v="0.184"/>
    <n v="0.15"/>
    <n v="298.52999999999997"/>
    <n v="1639.2180000000001"/>
    <n v="1116.5119999999999"/>
    <n v="14946.871999999999"/>
    <n v="16063.384"/>
    <n v="17061"/>
  </r>
  <r>
    <x v="76"/>
    <x v="2"/>
    <s v="Rural"/>
    <n v="44950"/>
    <n v="1609"/>
    <n v="8481"/>
    <n v="2135"/>
    <n v="24649"/>
    <n v="8076"/>
    <n v="35265"/>
    <n v="4.8000000000000001E-2"/>
    <n v="0.185"/>
    <n v="0.14599999999999999"/>
    <n v="77.231999999999999"/>
    <n v="407.08800000000002"/>
    <n v="394.97500000000002"/>
    <n v="4560.0649999999996"/>
    <n v="4955.04"/>
    <n v="5148.6899999999996"/>
  </r>
  <r>
    <x v="77"/>
    <x v="4"/>
    <s v="Rural"/>
    <n v="130374"/>
    <n v="4929"/>
    <n v="25654"/>
    <n v="8169"/>
    <n v="71629"/>
    <n v="19993"/>
    <n v="105452"/>
    <n v="5.7999999999999996E-2"/>
    <n v="0.24100000000000002"/>
    <n v="0.18600000000000003"/>
    <n v="285.88200000000001"/>
    <n v="1487.9319999999998"/>
    <n v="1968.7290000000003"/>
    <n v="17262.589"/>
    <n v="19231.317999999999"/>
    <n v="19614.072000000004"/>
  </r>
  <r>
    <x v="78"/>
    <x v="0"/>
    <s v="Urban"/>
    <n v="91097"/>
    <n v="2842"/>
    <n v="15296"/>
    <n v="3335"/>
    <n v="51130"/>
    <n v="18494"/>
    <n v="69761"/>
    <n v="5.2000000000000005E-2"/>
    <n v="0.157"/>
    <n v="0.13"/>
    <n v="147.78400000000002"/>
    <n v="795.39200000000005"/>
    <n v="523.59500000000003"/>
    <n v="8027.41"/>
    <n v="8551.0049999999992"/>
    <n v="9068.93"/>
  </r>
  <r>
    <x v="79"/>
    <x v="0"/>
    <s v="Urban"/>
    <n v="143309"/>
    <n v="4815"/>
    <n v="26943"/>
    <n v="5798"/>
    <n v="80586"/>
    <n v="25167"/>
    <n v="113327"/>
    <n v="4.4999999999999998E-2"/>
    <n v="0.17300000000000001"/>
    <n v="0.13800000000000001"/>
    <n v="216.67499999999998"/>
    <n v="1212.4349999999999"/>
    <n v="1003.0540000000001"/>
    <n v="13941.378000000001"/>
    <n v="14944.432000000001"/>
    <n v="15639.126000000002"/>
  </r>
  <r>
    <x v="80"/>
    <x v="5"/>
    <s v="Rural"/>
    <n v="69251"/>
    <n v="2178"/>
    <n v="11656"/>
    <n v="2535"/>
    <n v="38096"/>
    <n v="14786"/>
    <n v="52287"/>
    <n v="0.05"/>
    <n v="0.16699999999999998"/>
    <n v="0.13600000000000001"/>
    <n v="108.9"/>
    <n v="582.80000000000007"/>
    <n v="423.34499999999997"/>
    <n v="6362.0319999999992"/>
    <n v="6785.3769999999995"/>
    <n v="7111.0320000000002"/>
  </r>
  <r>
    <x v="81"/>
    <x v="4"/>
    <s v="Rural"/>
    <n v="64173"/>
    <n v="2493"/>
    <n v="13006"/>
    <n v="2832"/>
    <n v="34445"/>
    <n v="11397"/>
    <n v="50283"/>
    <n v="7.400000000000001E-2"/>
    <n v="0.23499999999999999"/>
    <n v="0.187"/>
    <n v="184.48200000000003"/>
    <n v="962.44400000000019"/>
    <n v="665.52"/>
    <n v="8094.5749999999998"/>
    <n v="8760.0949999999993"/>
    <n v="9402.9210000000003"/>
  </r>
  <r>
    <x v="82"/>
    <x v="4"/>
    <s v="Rural"/>
    <n v="35813"/>
    <n v="1392"/>
    <n v="6953"/>
    <n v="1350"/>
    <n v="19563"/>
    <n v="6555"/>
    <n v="27866"/>
    <n v="4.7E-2"/>
    <n v="0.182"/>
    <n v="0.14199999999999999"/>
    <n v="65.424000000000007"/>
    <n v="326.791"/>
    <n v="245.7"/>
    <n v="3560.4659999999999"/>
    <n v="3806.1659999999997"/>
    <n v="3956.9719999999998"/>
  </r>
  <r>
    <x v="83"/>
    <x v="0"/>
    <s v="Rural"/>
    <n v="63944"/>
    <n v="2132"/>
    <n v="11180"/>
    <n v="2418"/>
    <n v="35860"/>
    <n v="12354"/>
    <n v="49458"/>
    <n v="4.9000000000000002E-2"/>
    <n v="0.16"/>
    <n v="0.129"/>
    <n v="104.468"/>
    <n v="547.82000000000005"/>
    <n v="386.88"/>
    <n v="5737.6"/>
    <n v="6124.4800000000005"/>
    <n v="6380.0820000000003"/>
  </r>
  <r>
    <x v="84"/>
    <x v="0"/>
    <s v="Urban"/>
    <n v="46600"/>
    <n v="1300"/>
    <n v="7157"/>
    <n v="1391"/>
    <n v="27136"/>
    <n v="9616"/>
    <n v="35684"/>
    <n v="0.05"/>
    <n v="0.16"/>
    <n v="0.13300000000000001"/>
    <n v="65"/>
    <n v="357.85"/>
    <n v="222.56"/>
    <n v="4341.76"/>
    <n v="4564.3200000000006"/>
    <n v="4745.9720000000007"/>
  </r>
  <r>
    <x v="85"/>
    <x v="5"/>
    <s v="Rural"/>
    <n v="73116"/>
    <n v="2263"/>
    <n v="12776"/>
    <n v="2984"/>
    <n v="40551"/>
    <n v="14542"/>
    <n v="56311"/>
    <n v="5.5999999999999994E-2"/>
    <n v="0.18100000000000002"/>
    <n v="0.14699999999999999"/>
    <n v="126.72799999999998"/>
    <n v="715.4559999999999"/>
    <n v="540.10400000000004"/>
    <n v="7339.7310000000007"/>
    <n v="7879.8350000000009"/>
    <n v="8277.7169999999987"/>
  </r>
  <r>
    <x v="86"/>
    <x v="1"/>
    <s v="Rural"/>
    <n v="14995"/>
    <n v="560"/>
    <n v="2926"/>
    <n v="478"/>
    <n v="8037"/>
    <n v="2994"/>
    <n v="11441"/>
    <n v="7.5999999999999998E-2"/>
    <n v="0.22399999999999998"/>
    <n v="0.183"/>
    <n v="42.56"/>
    <n v="222.376"/>
    <n v="107.07199999999999"/>
    <n v="1800.2879999999998"/>
    <n v="1907.3599999999997"/>
    <n v="2093.703"/>
  </r>
  <r>
    <x v="87"/>
    <x v="1"/>
    <s v="Rural"/>
    <n v="35435"/>
    <n v="880"/>
    <n v="4781"/>
    <n v="1356"/>
    <n v="17199"/>
    <n v="11219"/>
    <n v="23336"/>
    <n v="6.4000000000000001E-2"/>
    <n v="0.18"/>
    <n v="0.153"/>
    <n v="56.32"/>
    <n v="305.98399999999998"/>
    <n v="244.07999999999998"/>
    <n v="3095.8199999999997"/>
    <n v="3339.8999999999996"/>
    <n v="3570.4079999999999"/>
  </r>
  <r>
    <x v="88"/>
    <x v="3"/>
    <s v="Rural"/>
    <n v="4311"/>
    <n v="134"/>
    <n v="673"/>
    <n v="130"/>
    <n v="2506"/>
    <n v="868"/>
    <n v="3309"/>
    <n v="6.8000000000000005E-2"/>
    <n v="0.20899999999999999"/>
    <n v="0.17"/>
    <n v="9.1120000000000001"/>
    <n v="45.764000000000003"/>
    <n v="27.169999999999998"/>
    <n v="523.75400000000002"/>
    <n v="550.92399999999998"/>
    <n v="562.53000000000009"/>
  </r>
  <r>
    <x v="89"/>
    <x v="0"/>
    <s v="Urban"/>
    <n v="237477"/>
    <n v="8185"/>
    <n v="48909"/>
    <n v="11425"/>
    <n v="137959"/>
    <n v="30999"/>
    <n v="198293"/>
    <n v="4.5999999999999999E-2"/>
    <n v="0.13300000000000001"/>
    <n v="0.105"/>
    <n v="376.51"/>
    <n v="2249.8139999999999"/>
    <n v="1519.5250000000001"/>
    <n v="18348.547000000002"/>
    <n v="19868.072000000004"/>
    <n v="20820.764999999999"/>
  </r>
  <r>
    <x v="90"/>
    <x v="0"/>
    <s v="Rural"/>
    <n v="45182"/>
    <n v="1703"/>
    <n v="8759"/>
    <n v="1909"/>
    <n v="24606"/>
    <n v="8205"/>
    <n v="35274"/>
    <n v="0.04"/>
    <n v="0.155"/>
    <n v="0.121"/>
    <n v="68.12"/>
    <n v="350.36"/>
    <n v="295.89499999999998"/>
    <n v="3813.93"/>
    <n v="4109.8249999999998"/>
    <n v="4268.1539999999995"/>
  </r>
  <r>
    <x v="91"/>
    <x v="6"/>
    <s v="Urban"/>
    <n v="1096408"/>
    <n v="39144"/>
    <n v="217249"/>
    <n v="46459"/>
    <n v="663140"/>
    <n v="130416"/>
    <n v="926848"/>
    <n v="4.4999999999999998E-2"/>
    <n v="0.12300000000000001"/>
    <n v="0.1"/>
    <n v="1761.48"/>
    <n v="9776.2049999999999"/>
    <n v="5714.4570000000003"/>
    <n v="81566.22"/>
    <n v="87280.676999999996"/>
    <n v="92684.800000000003"/>
  </r>
  <r>
    <x v="92"/>
    <x v="0"/>
    <s v="Rural"/>
    <n v="20111"/>
    <n v="569"/>
    <n v="3104"/>
    <n v="598"/>
    <n v="10951"/>
    <n v="4889"/>
    <n v="14653"/>
    <n v="6.9000000000000006E-2"/>
    <n v="0.19600000000000001"/>
    <n v="0.16399999999999998"/>
    <n v="39.261000000000003"/>
    <n v="214.17600000000002"/>
    <n v="117.208"/>
    <n v="2146.3960000000002"/>
    <n v="2263.6040000000003"/>
    <n v="2403.0919999999996"/>
  </r>
  <r>
    <x v="93"/>
    <x v="3"/>
    <s v="Rural"/>
    <n v="12157"/>
    <n v="424"/>
    <n v="2178"/>
    <n v="337"/>
    <n v="6241"/>
    <n v="2977"/>
    <n v="8756"/>
    <n v="4.4000000000000004E-2"/>
    <n v="0.16200000000000001"/>
    <n v="0.13100000000000001"/>
    <n v="18.656000000000002"/>
    <n v="95.832000000000008"/>
    <n v="54.594000000000001"/>
    <n v="1011.042"/>
    <n v="1065.636"/>
    <n v="1147.0360000000001"/>
  </r>
  <r>
    <x v="94"/>
    <x v="1"/>
    <s v="Rural"/>
    <n v="58872"/>
    <n v="1217"/>
    <n v="5864"/>
    <n v="9359"/>
    <n v="32884"/>
    <n v="9548"/>
    <n v="48107"/>
    <n v="0.05"/>
    <n v="0.16200000000000001"/>
    <n v="0.14199999999999999"/>
    <n v="60.85"/>
    <n v="293.2"/>
    <n v="1516.1580000000001"/>
    <n v="5327.2080000000005"/>
    <n v="6843.3660000000009"/>
    <n v="6831.1939999999995"/>
  </r>
  <r>
    <x v="95"/>
    <x v="4"/>
    <s v="Urban"/>
    <n v="125464"/>
    <n v="4858"/>
    <n v="25610"/>
    <n v="5118"/>
    <n v="69311"/>
    <n v="20567"/>
    <n v="100039"/>
    <n v="5.0999999999999997E-2"/>
    <n v="0.19"/>
    <n v="0.15"/>
    <n v="247.75799999999998"/>
    <n v="1306.1099999999999"/>
    <n v="972.42"/>
    <n v="13169.09"/>
    <n v="14141.51"/>
    <n v="15005.849999999999"/>
  </r>
  <r>
    <x v="96"/>
    <x v="1"/>
    <s v="Rural"/>
    <n v="70200"/>
    <n v="2116"/>
    <n v="11812"/>
    <n v="2571"/>
    <n v="38576"/>
    <n v="15125"/>
    <n v="52959"/>
    <n v="5.2999999999999999E-2"/>
    <n v="0.19500000000000001"/>
    <n v="0.157"/>
    <n v="112.148"/>
    <n v="626.03599999999994"/>
    <n v="501.34500000000003"/>
    <n v="7522.3200000000006"/>
    <n v="8023.6650000000009"/>
    <n v="8314.5630000000001"/>
  </r>
  <r>
    <x v="97"/>
    <x v="4"/>
    <s v="Rural"/>
    <n v="82369"/>
    <n v="2900"/>
    <n v="15703"/>
    <n v="3111"/>
    <n v="45699"/>
    <n v="14956"/>
    <n v="64513"/>
    <n v="4.4999999999999998E-2"/>
    <n v="0.17600000000000002"/>
    <n v="0.13800000000000001"/>
    <n v="130.5"/>
    <n v="706.63499999999999"/>
    <n v="547.53600000000006"/>
    <n v="8043.0240000000013"/>
    <n v="8590.5600000000013"/>
    <n v="8902.7939999999999"/>
  </r>
  <r>
    <x v="98"/>
    <x v="5"/>
    <s v="Urban"/>
    <n v="38729"/>
    <n v="1231"/>
    <n v="6608"/>
    <n v="1431"/>
    <n v="21764"/>
    <n v="7695"/>
    <n v="29803"/>
    <n v="5.2999999999999999E-2"/>
    <n v="0.17199999999999999"/>
    <n v="0.14099999999999999"/>
    <n v="65.242999999999995"/>
    <n v="350.22399999999999"/>
    <n v="246.13199999999998"/>
    <n v="3743.4079999999999"/>
    <n v="3989.54"/>
    <n v="4202.223"/>
  </r>
  <r>
    <x v="99"/>
    <x v="1"/>
    <s v="Rural"/>
    <n v="18412"/>
    <n v="538"/>
    <n v="2776"/>
    <n v="542"/>
    <n v="9906"/>
    <n v="4650"/>
    <n v="13224"/>
    <n v="0.06"/>
    <n v="0.17600000000000002"/>
    <n v="0.14699999999999999"/>
    <n v="32.28"/>
    <n v="166.56"/>
    <n v="95.39200000000001"/>
    <n v="1743.4560000000001"/>
    <n v="1838.8480000000002"/>
    <n v="1943.927999999999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3041"/>
    <n v="5569"/>
    <n v="30099"/>
    <n v="8336"/>
    <n v="91330"/>
    <n v="27707"/>
    <n v="129765"/>
    <n v="4.9000000000000002E-2"/>
    <n v="0.17399999999999999"/>
    <n v="0.13900000000000001"/>
    <n v="272.88100000000003"/>
    <n v="1474.8510000000001"/>
    <n v="1450.4639999999999"/>
    <n v="15891.419999999998"/>
    <n v="17341.883999999998"/>
    <n v="18037.335000000003"/>
  </r>
  <r>
    <x v="1"/>
    <x v="1"/>
    <s v="Urban"/>
    <n v="38609"/>
    <n v="1093"/>
    <n v="6603"/>
    <n v="1326"/>
    <n v="21938"/>
    <n v="7649"/>
    <n v="29867"/>
    <n v="4.4999999999999998E-2"/>
    <n v="0.16"/>
    <n v="0.129"/>
    <n v="49.184999999999995"/>
    <n v="297.13499999999999"/>
    <n v="212.16"/>
    <n v="3510.08"/>
    <n v="3722.24"/>
    <n v="3852.8430000000003"/>
  </r>
  <r>
    <x v="2"/>
    <x v="1"/>
    <s v="Rural"/>
    <n v="11264"/>
    <n v="301"/>
    <n v="1677"/>
    <n v="380"/>
    <n v="6037"/>
    <n v="2869"/>
    <n v="8094"/>
    <n v="7.6999999999999999E-2"/>
    <n v="0.19699999999999998"/>
    <n v="0.16800000000000001"/>
    <n v="23.177"/>
    <n v="129.12899999999999"/>
    <n v="74.86"/>
    <n v="1189.289"/>
    <n v="1264.1489999999999"/>
    <n v="1359.7920000000001"/>
  </r>
  <r>
    <x v="3"/>
    <x v="2"/>
    <s v="Rural"/>
    <n v="25628"/>
    <n v="754"/>
    <n v="4386"/>
    <n v="959"/>
    <n v="15071"/>
    <n v="4458"/>
    <n v="20416"/>
    <n v="4.2999999999999997E-2"/>
    <n v="0.16399999999999998"/>
    <n v="0.13200000000000001"/>
    <n v="32.421999999999997"/>
    <n v="188.59799999999998"/>
    <n v="157.27599999999998"/>
    <n v="2471.6439999999998"/>
    <n v="2628.9199999999996"/>
    <n v="2694.9120000000003"/>
  </r>
  <r>
    <x v="4"/>
    <x v="1"/>
    <s v="Rural"/>
    <n v="27262"/>
    <n v="678"/>
    <n v="4203"/>
    <n v="882"/>
    <n v="14667"/>
    <n v="6832"/>
    <n v="19752"/>
    <n v="6.7000000000000004E-2"/>
    <n v="0.191"/>
    <n v="0.161"/>
    <n v="45.426000000000002"/>
    <n v="281.601"/>
    <n v="168.46199999999999"/>
    <n v="2801.3969999999999"/>
    <n v="2969.8589999999999"/>
    <n v="3180.0720000000001"/>
  </r>
  <r>
    <x v="5"/>
    <x v="1"/>
    <s v="Rural"/>
    <n v="18087"/>
    <n v="447"/>
    <n v="2313"/>
    <n v="620"/>
    <n v="10806"/>
    <n v="3901"/>
    <n v="13739"/>
    <n v="7.4999999999999997E-2"/>
    <n v="0.217"/>
    <n v="0.185"/>
    <n v="33.524999999999999"/>
    <n v="173.47499999999999"/>
    <n v="134.54"/>
    <n v="2344.902"/>
    <n v="2479.442"/>
    <n v="2541.7150000000001"/>
  </r>
  <r>
    <x v="6"/>
    <x v="3"/>
    <s v="Rural"/>
    <n v="47444"/>
    <n v="1388"/>
    <n v="8195"/>
    <n v="1609"/>
    <n v="24713"/>
    <n v="11539"/>
    <n v="34517"/>
    <n v="5.2000000000000005E-2"/>
    <n v="0.159"/>
    <n v="0.13"/>
    <n v="72.176000000000002"/>
    <n v="426.14000000000004"/>
    <n v="255.83100000000002"/>
    <n v="3929.3670000000002"/>
    <n v="4185.1980000000003"/>
    <n v="4487.21"/>
  </r>
  <r>
    <x v="7"/>
    <x v="3"/>
    <s v="Rural"/>
    <n v="19832"/>
    <n v="591"/>
    <n v="3196"/>
    <n v="717"/>
    <n v="11358"/>
    <n v="3970"/>
    <n v="15271"/>
    <n v="4.0999999999999995E-2"/>
    <n v="0.155"/>
    <n v="0.128"/>
    <n v="24.230999999999998"/>
    <n v="131.03599999999997"/>
    <n v="111.13500000000001"/>
    <n v="1760.49"/>
    <n v="1871.625"/>
    <n v="1954.6880000000001"/>
  </r>
  <r>
    <x v="8"/>
    <x v="4"/>
    <s v="Rural"/>
    <n v="34120"/>
    <n v="1071"/>
    <n v="6040"/>
    <n v="1266"/>
    <n v="18866"/>
    <n v="6877"/>
    <n v="26172"/>
    <n v="6.7000000000000004E-2"/>
    <n v="0.20199999999999999"/>
    <n v="0.16600000000000001"/>
    <n v="71.757000000000005"/>
    <n v="404.68"/>
    <n v="255.73199999999997"/>
    <n v="3810.9319999999998"/>
    <n v="4066.6639999999998"/>
    <n v="4344.5520000000006"/>
  </r>
  <r>
    <x v="9"/>
    <x v="3"/>
    <s v="Urban"/>
    <n v="135464"/>
    <n v="3222"/>
    <n v="19260"/>
    <n v="3520"/>
    <n v="69246"/>
    <n v="40216"/>
    <n v="92026"/>
    <n v="4.8000000000000001E-2"/>
    <n v="0.17600000000000002"/>
    <n v="0.14599999999999999"/>
    <n v="154.65600000000001"/>
    <n v="924.48"/>
    <n v="619.5200000000001"/>
    <n v="12187.296000000002"/>
    <n v="12806.816000000003"/>
    <n v="13435.795999999998"/>
  </r>
  <r>
    <x v="10"/>
    <x v="1"/>
    <s v="Urban"/>
    <n v="264666"/>
    <n v="7959"/>
    <n v="42267"/>
    <n v="9003"/>
    <n v="153121"/>
    <n v="52316"/>
    <n v="204391"/>
    <n v="4.4999999999999998E-2"/>
    <n v="0.13500000000000001"/>
    <n v="0.113"/>
    <n v="358.15499999999997"/>
    <n v="1902.0149999999999"/>
    <n v="1215.405"/>
    <n v="20671.335000000003"/>
    <n v="21886.74"/>
    <n v="23096.183000000001"/>
  </r>
  <r>
    <x v="11"/>
    <x v="5"/>
    <s v="Urban"/>
    <n v="90865"/>
    <n v="2708"/>
    <n v="15412"/>
    <n v="4364"/>
    <n v="50373"/>
    <n v="18008"/>
    <n v="70149"/>
    <n v="4.4999999999999998E-2"/>
    <n v="0.17300000000000001"/>
    <n v="0.14199999999999999"/>
    <n v="121.86"/>
    <n v="693.54"/>
    <n v="754.97200000000009"/>
    <n v="8714.5290000000005"/>
    <n v="9469.5010000000002"/>
    <n v="9961.1579999999994"/>
  </r>
  <r>
    <x v="12"/>
    <x v="0"/>
    <s v="Urban"/>
    <n v="209736"/>
    <n v="7771"/>
    <n v="43901"/>
    <n v="8567"/>
    <n v="121608"/>
    <n v="27889"/>
    <n v="174076"/>
    <n v="4.0999999999999995E-2"/>
    <n v="0.12300000000000001"/>
    <n v="9.8000000000000004E-2"/>
    <n v="318.61099999999993"/>
    <n v="1799.9409999999998"/>
    <n v="1053.7410000000002"/>
    <n v="14957.784000000001"/>
    <n v="16011.525000000001"/>
    <n v="17059.448"/>
  </r>
  <r>
    <x v="13"/>
    <x v="1"/>
    <s v="Urban"/>
    <n v="83919"/>
    <n v="2482"/>
    <n v="14154"/>
    <n v="3479"/>
    <n v="47723"/>
    <n v="16081"/>
    <n v="65356"/>
    <n v="4.0999999999999995E-2"/>
    <n v="0.17300000000000001"/>
    <n v="0.13900000000000001"/>
    <n v="101.76199999999999"/>
    <n v="580.31399999999996"/>
    <n v="601.86700000000008"/>
    <n v="8256.0790000000015"/>
    <n v="8857.9460000000017"/>
    <n v="9084.4840000000004"/>
  </r>
  <r>
    <x v="14"/>
    <x v="3"/>
    <s v="Rural"/>
    <n v="10416"/>
    <n v="300"/>
    <n v="1818"/>
    <n v="371"/>
    <n v="6223"/>
    <n v="1704"/>
    <n v="8412"/>
    <n v="5.2999999999999999E-2"/>
    <n v="0.122"/>
    <n v="0.10300000000000001"/>
    <n v="15.9"/>
    <n v="96.353999999999999"/>
    <n v="45.262"/>
    <n v="759.20600000000002"/>
    <n v="804.46800000000007"/>
    <n v="866.43600000000004"/>
  </r>
  <r>
    <x v="15"/>
    <x v="3"/>
    <s v="Rural"/>
    <n v="70620"/>
    <n v="1783"/>
    <n v="10373"/>
    <n v="2220"/>
    <n v="38909"/>
    <n v="17335"/>
    <n v="51502"/>
    <n v="5.2999999999999999E-2"/>
    <n v="0.14599999999999999"/>
    <n v="0.12300000000000001"/>
    <n v="94.498999999999995"/>
    <n v="549.76900000000001"/>
    <n v="324.12"/>
    <n v="5680.7139999999999"/>
    <n v="6004.8339999999998"/>
    <n v="6334.746000000001"/>
  </r>
  <r>
    <x v="16"/>
    <x v="0"/>
    <s v="Rural"/>
    <n v="23692"/>
    <n v="637"/>
    <n v="3622"/>
    <n v="768"/>
    <n v="13797"/>
    <n v="4868"/>
    <n v="18187"/>
    <n v="5.2000000000000005E-2"/>
    <n v="0.159"/>
    <n v="0.13200000000000001"/>
    <n v="33.124000000000002"/>
    <n v="188.34400000000002"/>
    <n v="122.11199999999999"/>
    <n v="2193.723"/>
    <n v="2315.835"/>
    <n v="2400.6840000000002"/>
  </r>
  <r>
    <x v="17"/>
    <x v="5"/>
    <s v="Urban"/>
    <n v="157424"/>
    <n v="5195"/>
    <n v="29304"/>
    <n v="6378"/>
    <n v="89036"/>
    <n v="27511"/>
    <n v="124718"/>
    <n v="4.4000000000000004E-2"/>
    <n v="0.16300000000000001"/>
    <n v="0.13"/>
    <n v="228.58"/>
    <n v="1289.3760000000002"/>
    <n v="1039.614"/>
    <n v="14512.868"/>
    <n v="15552.482"/>
    <n v="16213.34"/>
  </r>
  <r>
    <x v="18"/>
    <x v="0"/>
    <s v="Urban"/>
    <n v="76383"/>
    <n v="2022"/>
    <n v="12163"/>
    <n v="2284"/>
    <n v="40316"/>
    <n v="19598"/>
    <n v="54763"/>
    <n v="6.0999999999999999E-2"/>
    <n v="0.16300000000000001"/>
    <n v="0.13500000000000001"/>
    <n v="123.342"/>
    <n v="741.94299999999998"/>
    <n v="372.29200000000003"/>
    <n v="6571.5079999999998"/>
    <n v="6943.8"/>
    <n v="7393.0050000000001"/>
  </r>
  <r>
    <x v="19"/>
    <x v="1"/>
    <s v="Rural"/>
    <n v="29853"/>
    <n v="776"/>
    <n v="4301"/>
    <n v="868"/>
    <n v="15239"/>
    <n v="8669"/>
    <n v="20408"/>
    <n v="0.06"/>
    <n v="0.185"/>
    <n v="0.154"/>
    <n v="46.559999999999995"/>
    <n v="258.06"/>
    <n v="160.57999999999998"/>
    <n v="2819.2150000000001"/>
    <n v="2979.7950000000001"/>
    <n v="3142.8319999999999"/>
  </r>
  <r>
    <x v="20"/>
    <x v="3"/>
    <s v="Rural"/>
    <n v="14177"/>
    <n v="431"/>
    <n v="2451"/>
    <n v="462"/>
    <n v="7426"/>
    <n v="3407"/>
    <n v="10339"/>
    <n v="5.0999999999999997E-2"/>
    <n v="0.14699999999999999"/>
    <n v="0.121"/>
    <n v="21.980999999999998"/>
    <n v="125.00099999999999"/>
    <n v="67.914000000000001"/>
    <n v="1091.6219999999998"/>
    <n v="1159.5359999999998"/>
    <n v="1251.019"/>
  </r>
  <r>
    <x v="21"/>
    <x v="1"/>
    <s v="Rural"/>
    <n v="11654"/>
    <n v="299"/>
    <n v="1711"/>
    <n v="334"/>
    <n v="5825"/>
    <n v="3485"/>
    <n v="7870"/>
    <n v="7.0000000000000007E-2"/>
    <n v="0.17899999999999999"/>
    <n v="0.151"/>
    <n v="20.930000000000003"/>
    <n v="119.77000000000001"/>
    <n v="59.785999999999994"/>
    <n v="1042.675"/>
    <n v="1102.461"/>
    <n v="1188.3699999999999"/>
  </r>
  <r>
    <x v="22"/>
    <x v="5"/>
    <s v="Rural"/>
    <n v="98862"/>
    <n v="3250"/>
    <n v="17800"/>
    <n v="4322"/>
    <n v="55325"/>
    <n v="18165"/>
    <n v="77447"/>
    <n v="4.2999999999999997E-2"/>
    <n v="0.14899999999999999"/>
    <n v="0.12"/>
    <n v="139.75"/>
    <n v="765.4"/>
    <n v="643.97799999999995"/>
    <n v="8243.4249999999993"/>
    <n v="8887.4029999999984"/>
    <n v="9293.64"/>
  </r>
  <r>
    <x v="23"/>
    <x v="3"/>
    <s v="Rural"/>
    <n v="56904"/>
    <n v="1825"/>
    <n v="10179"/>
    <n v="2292"/>
    <n v="31914"/>
    <n v="10694"/>
    <n v="44385"/>
    <n v="5.4000000000000006E-2"/>
    <n v="0.185"/>
    <n v="0.14899999999999999"/>
    <n v="98.550000000000011"/>
    <n v="549.66600000000005"/>
    <n v="424.02"/>
    <n v="5904.09"/>
    <n v="6328.1100000000006"/>
    <n v="6613.3649999999998"/>
  </r>
  <r>
    <x v="24"/>
    <x v="3"/>
    <s v="Urban"/>
    <n v="103800"/>
    <n v="4349"/>
    <n v="22193"/>
    <n v="4886"/>
    <n v="54660"/>
    <n v="17712"/>
    <n v="81739"/>
    <n v="4.2000000000000003E-2"/>
    <n v="0.15"/>
    <n v="0.11900000000000001"/>
    <n v="182.65800000000002"/>
    <n v="932.10600000000011"/>
    <n v="732.9"/>
    <n v="8199"/>
    <n v="8931.9"/>
    <n v="9726.9410000000007"/>
  </r>
  <r>
    <x v="25"/>
    <x v="6"/>
    <s v="Urban"/>
    <n v="329653"/>
    <n v="15907"/>
    <n v="72224"/>
    <n v="15244"/>
    <n v="184922"/>
    <n v="41356"/>
    <n v="272390"/>
    <n v="3.7000000000000005E-2"/>
    <n v="0.13800000000000001"/>
    <n v="0.10800000000000001"/>
    <n v="588.55900000000008"/>
    <n v="2672.2880000000005"/>
    <n v="2103.672"/>
    <n v="25519.236000000001"/>
    <n v="27622.907999999999"/>
    <n v="29418.120000000003"/>
  </r>
  <r>
    <x v="26"/>
    <x v="3"/>
    <s v="Urban"/>
    <n v="27109"/>
    <n v="843"/>
    <n v="4689"/>
    <n v="962"/>
    <n v="16234"/>
    <n v="4381"/>
    <n v="21885"/>
    <n v="5.2999999999999999E-2"/>
    <n v="0.14099999999999999"/>
    <n v="0.11699999999999999"/>
    <n v="44.679000000000002"/>
    <n v="248.517"/>
    <n v="135.642"/>
    <n v="2288.9939999999997"/>
    <n v="2424.6359999999995"/>
    <n v="2560.5449999999996"/>
  </r>
  <r>
    <x v="27"/>
    <x v="3"/>
    <s v="Rural"/>
    <n v="37172"/>
    <n v="1079"/>
    <n v="5885"/>
    <n v="928"/>
    <n v="21423"/>
    <n v="7857"/>
    <n v="28236"/>
    <n v="6.4000000000000001E-2"/>
    <n v="0.14899999999999999"/>
    <n v="0.129"/>
    <n v="69.055999999999997"/>
    <n v="376.64"/>
    <n v="138.27199999999999"/>
    <n v="3192.027"/>
    <n v="3330.299"/>
    <n v="3642.444"/>
  </r>
  <r>
    <x v="28"/>
    <x v="0"/>
    <s v="Urban"/>
    <n v="168107"/>
    <n v="5485"/>
    <n v="30551"/>
    <n v="6118"/>
    <n v="96350"/>
    <n v="29603"/>
    <n v="133019"/>
    <n v="4.9000000000000002E-2"/>
    <n v="0.161"/>
    <n v="0.13"/>
    <n v="268.76499999999999"/>
    <n v="1496.999"/>
    <n v="984.99800000000005"/>
    <n v="15512.35"/>
    <n v="16497.348000000002"/>
    <n v="17292.47"/>
  </r>
  <r>
    <x v="29"/>
    <x v="0"/>
    <s v="Urban"/>
    <n v="43244"/>
    <n v="1282"/>
    <n v="7331"/>
    <n v="1563"/>
    <n v="24335"/>
    <n v="8733"/>
    <n v="33229"/>
    <n v="5.2999999999999999E-2"/>
    <n v="0.14899999999999999"/>
    <n v="0.12300000000000001"/>
    <n v="67.945999999999998"/>
    <n v="388.54300000000001"/>
    <n v="232.887"/>
    <n v="3625.915"/>
    <n v="3858.8020000000001"/>
    <n v="4087.1670000000004"/>
  </r>
  <r>
    <x v="30"/>
    <x v="4"/>
    <s v="Rural"/>
    <n v="59446"/>
    <n v="2191"/>
    <n v="12066"/>
    <n v="2431"/>
    <n v="32409"/>
    <n v="10349"/>
    <n v="46906"/>
    <n v="7.4999999999999997E-2"/>
    <n v="0.253"/>
    <n v="0.20100000000000001"/>
    <n v="164.32499999999999"/>
    <n v="904.94999999999993"/>
    <n v="615.04300000000001"/>
    <n v="8199.4770000000008"/>
    <n v="8814.52"/>
    <n v="9428.1059999999998"/>
  </r>
  <r>
    <x v="31"/>
    <x v="6"/>
    <s v="Urban"/>
    <n v="310847"/>
    <n v="13122"/>
    <n v="60336"/>
    <n v="14653"/>
    <n v="183865"/>
    <n v="38871"/>
    <n v="258854"/>
    <n v="5.2999999999999999E-2"/>
    <n v="0.154"/>
    <n v="0.128"/>
    <n v="695.46600000000001"/>
    <n v="3197.808"/>
    <n v="2256.5619999999999"/>
    <n v="28315.21"/>
    <n v="30571.771999999997"/>
    <n v="33133.311999999998"/>
  </r>
  <r>
    <x v="32"/>
    <x v="4"/>
    <s v="Urban"/>
    <n v="52149"/>
    <n v="1718"/>
    <n v="10271"/>
    <n v="1873"/>
    <n v="27991"/>
    <n v="10296"/>
    <n v="40135"/>
    <n v="3.3000000000000002E-2"/>
    <n v="0.154"/>
    <n v="0.12"/>
    <n v="56.694000000000003"/>
    <n v="338.94300000000004"/>
    <n v="288.44200000000001"/>
    <n v="4310.6139999999996"/>
    <n v="4599.0559999999996"/>
    <n v="4816.2"/>
  </r>
  <r>
    <x v="33"/>
    <x v="0"/>
    <s v="Urban"/>
    <n v="376314"/>
    <n v="13698"/>
    <n v="73622"/>
    <n v="16120"/>
    <n v="213916"/>
    <n v="58958"/>
    <n v="303658"/>
    <n v="4.4999999999999998E-2"/>
    <n v="0.156"/>
    <n v="0.124"/>
    <n v="616.41"/>
    <n v="3312.99"/>
    <n v="2514.7199999999998"/>
    <n v="33370.896000000001"/>
    <n v="35885.616000000002"/>
    <n v="37653.591999999997"/>
  </r>
  <r>
    <x v="34"/>
    <x v="0"/>
    <s v="Urban"/>
    <n v="67586"/>
    <n v="2200"/>
    <n v="12576"/>
    <n v="2589"/>
    <n v="38887"/>
    <n v="11334"/>
    <n v="54052"/>
    <n v="5.0999999999999997E-2"/>
    <n v="0.161"/>
    <n v="0.13100000000000001"/>
    <n v="112.19999999999999"/>
    <n v="641.37599999999998"/>
    <n v="416.82900000000001"/>
    <n v="6260.8069999999998"/>
    <n v="6677.6359999999995"/>
    <n v="7080.8119999999999"/>
  </r>
  <r>
    <x v="35"/>
    <x v="5"/>
    <s v="Urban"/>
    <n v="221112"/>
    <n v="7699"/>
    <n v="41869"/>
    <n v="8772"/>
    <n v="127422"/>
    <n v="35350"/>
    <n v="178063"/>
    <n v="4.8000000000000001E-2"/>
    <n v="0.14000000000000001"/>
    <n v="0.115"/>
    <n v="369.55200000000002"/>
    <n v="2009.712"/>
    <n v="1228.0800000000002"/>
    <n v="17839.080000000002"/>
    <n v="19067.160000000003"/>
    <n v="20477.245000000003"/>
  </r>
  <r>
    <x v="36"/>
    <x v="3"/>
    <s v="Urban"/>
    <n v="12008"/>
    <n v="353"/>
    <n v="1968"/>
    <n v="425"/>
    <n v="6964"/>
    <n v="2298"/>
    <n v="9357"/>
    <n v="5.2999999999999999E-2"/>
    <n v="0.13500000000000001"/>
    <n v="0.113"/>
    <n v="18.709"/>
    <n v="104.304"/>
    <n v="57.375000000000007"/>
    <n v="940.1400000000001"/>
    <n v="997.5150000000001"/>
    <n v="1057.3410000000001"/>
  </r>
  <r>
    <x v="37"/>
    <x v="1"/>
    <s v="Rural"/>
    <n v="8862"/>
    <n v="267"/>
    <n v="1537"/>
    <n v="330"/>
    <n v="4618"/>
    <n v="2110"/>
    <n v="6485"/>
    <n v="6.4000000000000001E-2"/>
    <n v="0.20699999999999999"/>
    <n v="0.16699999999999998"/>
    <n v="17.088000000000001"/>
    <n v="98.367999999999995"/>
    <n v="68.31"/>
    <n v="955.92599999999993"/>
    <n v="1024.2359999999999"/>
    <n v="1082.9949999999999"/>
  </r>
  <r>
    <x v="38"/>
    <x v="0"/>
    <s v="Rural"/>
    <n v="60566"/>
    <n v="1759"/>
    <n v="10092"/>
    <n v="2670"/>
    <n v="36035"/>
    <n v="10010"/>
    <n v="48797"/>
    <n v="4.2000000000000003E-2"/>
    <n v="0.14499999999999999"/>
    <n v="0.11800000000000001"/>
    <n v="73.878"/>
    <n v="423.86400000000003"/>
    <n v="387.15"/>
    <n v="5225.0749999999998"/>
    <n v="5612.2249999999995"/>
    <n v="5758.0460000000003"/>
  </r>
  <r>
    <x v="39"/>
    <x v="4"/>
    <s v="Rural"/>
    <n v="21520"/>
    <n v="638"/>
    <n v="3854"/>
    <n v="812"/>
    <n v="12766"/>
    <n v="3450"/>
    <n v="17432"/>
    <n v="7.5999999999999998E-2"/>
    <n v="0.22500000000000001"/>
    <n v="0.182"/>
    <n v="48.488"/>
    <n v="292.904"/>
    <n v="182.70000000000002"/>
    <n v="2872.35"/>
    <n v="3055.0499999999997"/>
    <n v="3172.6239999999998"/>
  </r>
  <r>
    <x v="40"/>
    <x v="2"/>
    <s v="Urban"/>
    <n v="527696"/>
    <n v="18754"/>
    <n v="96638"/>
    <n v="27249"/>
    <n v="304812"/>
    <n v="80243"/>
    <n v="428699"/>
    <n v="0.04"/>
    <n v="0.14199999999999999"/>
    <n v="0.114"/>
    <n v="750.16"/>
    <n v="3865.52"/>
    <n v="3869.3579999999997"/>
    <n v="43283.303999999996"/>
    <n v="47152.661999999997"/>
    <n v="48871.686000000002"/>
  </r>
  <r>
    <x v="41"/>
    <x v="0"/>
    <s v="Rural"/>
    <n v="51468"/>
    <n v="1727"/>
    <n v="9280"/>
    <n v="1779"/>
    <n v="28250"/>
    <n v="10432"/>
    <n v="39309"/>
    <n v="4.2999999999999997E-2"/>
    <n v="0.17199999999999999"/>
    <n v="0.13699999999999998"/>
    <n v="74.260999999999996"/>
    <n v="399.03999999999996"/>
    <n v="305.988"/>
    <n v="4859"/>
    <n v="5164.9880000000003"/>
    <n v="5385.3329999999996"/>
  </r>
  <r>
    <x v="42"/>
    <x v="2"/>
    <s v="Rural"/>
    <n v="133065"/>
    <n v="5629"/>
    <n v="30286"/>
    <n v="6263"/>
    <n v="74052"/>
    <n v="16835"/>
    <n v="110601"/>
    <n v="4.7E-2"/>
    <n v="0.161"/>
    <n v="0.125"/>
    <n v="264.56299999999999"/>
    <n v="1423.442"/>
    <n v="1008.3430000000001"/>
    <n v="11922.372000000001"/>
    <n v="12930.715000000002"/>
    <n v="13825.125"/>
  </r>
  <r>
    <x v="43"/>
    <x v="1"/>
    <s v="Urban"/>
    <n v="62780"/>
    <n v="1852"/>
    <n v="9485"/>
    <n v="1996"/>
    <n v="33645"/>
    <n v="15802"/>
    <n v="45126"/>
    <n v="4.0999999999999995E-2"/>
    <n v="0.13800000000000001"/>
    <n v="0.114"/>
    <n v="75.931999999999988"/>
    <n v="388.88499999999993"/>
    <n v="275.44800000000004"/>
    <n v="4643.01"/>
    <n v="4918.4580000000005"/>
    <n v="5144.3640000000005"/>
  </r>
  <r>
    <x v="44"/>
    <x v="1"/>
    <s v="Urban"/>
    <n v="117902"/>
    <n v="3346"/>
    <n v="18868"/>
    <n v="3555"/>
    <n v="60875"/>
    <n v="31258"/>
    <n v="83298"/>
    <n v="0.05"/>
    <n v="0.17499999999999999"/>
    <n v="0.14199999999999999"/>
    <n v="167.3"/>
    <n v="943.40000000000009"/>
    <n v="622.125"/>
    <n v="10653.125"/>
    <n v="11275.25"/>
    <n v="11828.315999999999"/>
  </r>
  <r>
    <x v="45"/>
    <x v="3"/>
    <s v="Rural"/>
    <n v="23855"/>
    <n v="697"/>
    <n v="4010"/>
    <n v="1258"/>
    <n v="13437"/>
    <n v="4453"/>
    <n v="18705"/>
    <n v="3.7999999999999999E-2"/>
    <n v="0.14599999999999999"/>
    <n v="0.11699999999999999"/>
    <n v="26.486000000000001"/>
    <n v="152.38"/>
    <n v="183.66799999999998"/>
    <n v="1961.8019999999999"/>
    <n v="2145.4699999999998"/>
    <n v="2188.4849999999997"/>
  </r>
  <r>
    <x v="46"/>
    <x v="2"/>
    <s v="Urban"/>
    <n v="54679"/>
    <n v="2775"/>
    <n v="13981"/>
    <n v="2382"/>
    <n v="30294"/>
    <n v="5247"/>
    <n v="46657"/>
    <n v="0.05"/>
    <n v="0.21299999999999999"/>
    <n v="0.16200000000000001"/>
    <n v="138.75"/>
    <n v="699.05000000000007"/>
    <n v="507.36599999999999"/>
    <n v="6452.6220000000003"/>
    <n v="6959.9880000000003"/>
    <n v="7558.4340000000002"/>
  </r>
  <r>
    <x v="47"/>
    <x v="3"/>
    <s v="Rural"/>
    <n v="5630"/>
    <n v="135"/>
    <n v="826"/>
    <n v="157"/>
    <n v="3397"/>
    <n v="1115"/>
    <n v="4380"/>
    <n v="6.2E-2"/>
    <n v="0.16899999999999998"/>
    <n v="0.14300000000000002"/>
    <n v="8.3699999999999992"/>
    <n v="51.211999999999996"/>
    <n v="26.532999999999998"/>
    <n v="574.09299999999996"/>
    <n v="600.62599999999998"/>
    <n v="626.34"/>
  </r>
  <r>
    <x v="48"/>
    <x v="5"/>
    <s v="Urban"/>
    <n v="179740"/>
    <n v="5932"/>
    <n v="33536"/>
    <n v="7362"/>
    <n v="104709"/>
    <n v="28201"/>
    <n v="145607"/>
    <n v="5.2000000000000005E-2"/>
    <n v="0.14800000000000002"/>
    <n v="0.121"/>
    <n v="308.464"/>
    <n v="1743.8720000000001"/>
    <n v="1089.5760000000002"/>
    <n v="15496.932000000003"/>
    <n v="16586.508000000002"/>
    <n v="17618.447"/>
  </r>
  <r>
    <x v="49"/>
    <x v="1"/>
    <s v="Rural"/>
    <n v="43662"/>
    <n v="1195"/>
    <n v="6274"/>
    <n v="4125"/>
    <n v="23648"/>
    <n v="8420"/>
    <n v="34047"/>
    <n v="6.6000000000000003E-2"/>
    <n v="0.21"/>
    <n v="0.17600000000000002"/>
    <n v="78.87"/>
    <n v="414.084"/>
    <n v="866.25"/>
    <n v="4966.08"/>
    <n v="5832.33"/>
    <n v="5992.2720000000008"/>
  </r>
  <r>
    <x v="50"/>
    <x v="6"/>
    <s v="Urban"/>
    <n v="200102"/>
    <n v="7345"/>
    <n v="42261"/>
    <n v="8199"/>
    <n v="115671"/>
    <n v="26626"/>
    <n v="166131"/>
    <n v="4.9000000000000002E-2"/>
    <n v="0.16399999999999998"/>
    <n v="0.129"/>
    <n v="359.90500000000003"/>
    <n v="2070.7890000000002"/>
    <n v="1344.6359999999997"/>
    <n v="18970.043999999998"/>
    <n v="20314.679999999997"/>
    <n v="21430.899000000001"/>
  </r>
  <r>
    <x v="51"/>
    <x v="3"/>
    <s v="Urban"/>
    <n v="10356"/>
    <n v="296"/>
    <n v="1700"/>
    <n v="345"/>
    <n v="5859"/>
    <n v="2156"/>
    <n v="7904"/>
    <n v="5.9000000000000004E-2"/>
    <n v="0.16399999999999998"/>
    <n v="0.13800000000000001"/>
    <n v="17.464000000000002"/>
    <n v="100.30000000000001"/>
    <n v="56.579999999999991"/>
    <n v="960.87599999999986"/>
    <n v="1017.4559999999999"/>
    <n v="1090.7520000000002"/>
  </r>
  <r>
    <x v="52"/>
    <x v="2"/>
    <s v="Rural"/>
    <n v="59486"/>
    <n v="2370"/>
    <n v="12411"/>
    <n v="2410"/>
    <n v="32618"/>
    <n v="9677"/>
    <n v="47439"/>
    <n v="5.7000000000000002E-2"/>
    <n v="0.184"/>
    <n v="0.14699999999999999"/>
    <n v="135.09"/>
    <n v="707.42700000000002"/>
    <n v="443.44"/>
    <n v="6001.7119999999995"/>
    <n v="6445.1519999999991"/>
    <n v="6973.5329999999994"/>
  </r>
  <r>
    <x v="53"/>
    <x v="4"/>
    <s v="Rural"/>
    <n v="57366"/>
    <n v="1973"/>
    <n v="10691"/>
    <n v="2180"/>
    <n v="31375"/>
    <n v="11147"/>
    <n v="44246"/>
    <n v="4.0999999999999995E-2"/>
    <n v="0.17699999999999999"/>
    <n v="0.14000000000000001"/>
    <n v="80.892999999999986"/>
    <n v="438.33099999999996"/>
    <n v="385.85999999999996"/>
    <n v="5553.375"/>
    <n v="5939.2349999999997"/>
    <n v="6194.4400000000005"/>
  </r>
  <r>
    <x v="54"/>
    <x v="5"/>
    <s v="Urban"/>
    <n v="84494"/>
    <n v="2486"/>
    <n v="14771"/>
    <n v="3065"/>
    <n v="49444"/>
    <n v="14728"/>
    <n v="67280"/>
    <n v="4.5999999999999999E-2"/>
    <n v="0.13400000000000001"/>
    <n v="0.111"/>
    <n v="114.35599999999999"/>
    <n v="679.46600000000001"/>
    <n v="410.71000000000004"/>
    <n v="6625.4960000000001"/>
    <n v="7036.2060000000001"/>
    <n v="7468.08"/>
  </r>
  <r>
    <x v="55"/>
    <x v="1"/>
    <s v="Rural"/>
    <n v="35779"/>
    <n v="1088"/>
    <n v="5504"/>
    <n v="1241"/>
    <n v="17728"/>
    <n v="10218"/>
    <n v="24473"/>
    <n v="7.0999999999999994E-2"/>
    <n v="0.2"/>
    <n v="0.16600000000000001"/>
    <n v="77.24799999999999"/>
    <n v="390.78399999999999"/>
    <n v="248.20000000000002"/>
    <n v="3545.6000000000004"/>
    <n v="3793.8"/>
    <n v="4062.518"/>
  </r>
  <r>
    <x v="56"/>
    <x v="1"/>
    <s v="Urban"/>
    <n v="22504"/>
    <n v="631"/>
    <n v="3386"/>
    <n v="1255"/>
    <n v="12188"/>
    <n v="5044"/>
    <n v="16829"/>
    <n v="0.05"/>
    <n v="0.14800000000000002"/>
    <n v="0.12300000000000001"/>
    <n v="31.55"/>
    <n v="169.3"/>
    <n v="185.74000000000004"/>
    <n v="1803.8240000000003"/>
    <n v="1989.5640000000003"/>
    <n v="2069.9670000000001"/>
  </r>
  <r>
    <x v="57"/>
    <x v="3"/>
    <s v="Rural"/>
    <n v="23412"/>
    <n v="793"/>
    <n v="4002"/>
    <n v="741"/>
    <n v="12659"/>
    <n v="5217"/>
    <n v="17402"/>
    <n v="4.4000000000000004E-2"/>
    <n v="0.14099999999999999"/>
    <n v="0.11599999999999999"/>
    <n v="34.892000000000003"/>
    <n v="176.08800000000002"/>
    <n v="104.48099999999999"/>
    <n v="1784.9189999999999"/>
    <n v="1889.3999999999999"/>
    <n v="2018.6319999999998"/>
  </r>
  <r>
    <x v="58"/>
    <x v="1"/>
    <s v="Rural"/>
    <n v="45915"/>
    <n v="1376"/>
    <n v="7722"/>
    <n v="1628"/>
    <n v="25774"/>
    <n v="9415"/>
    <n v="35124"/>
    <n v="4.4000000000000004E-2"/>
    <n v="0.17"/>
    <n v="0.13699999999999998"/>
    <n v="60.544000000000004"/>
    <n v="339.76800000000003"/>
    <n v="276.76000000000005"/>
    <n v="4381.58"/>
    <n v="4658.34"/>
    <n v="4811.9879999999994"/>
  </r>
  <r>
    <x v="59"/>
    <x v="0"/>
    <s v="Urban"/>
    <n v="1099382"/>
    <n v="44903"/>
    <n v="216890"/>
    <n v="39457"/>
    <n v="674691"/>
    <n v="123441"/>
    <n v="931038"/>
    <n v="5.2999999999999999E-2"/>
    <n v="0.14599999999999999"/>
    <n v="0.121"/>
    <n v="2379.8589999999999"/>
    <n v="11495.17"/>
    <n v="5760.7219999999998"/>
    <n v="98504.885999999999"/>
    <n v="104265.60799999999"/>
    <n v="112655.598"/>
  </r>
  <r>
    <x v="60"/>
    <x v="1"/>
    <s v="Rural"/>
    <n v="15216"/>
    <n v="449"/>
    <n v="2299"/>
    <n v="515"/>
    <n v="8358"/>
    <n v="3595"/>
    <n v="11172"/>
    <n v="5.4000000000000006E-2"/>
    <n v="0.159"/>
    <n v="0.13300000000000001"/>
    <n v="24.246000000000002"/>
    <n v="124.14600000000002"/>
    <n v="81.885000000000005"/>
    <n v="1328.922"/>
    <n v="1410.807"/>
    <n v="1485.876"/>
  </r>
  <r>
    <x v="61"/>
    <x v="2"/>
    <s v="Rural"/>
    <n v="27957"/>
    <n v="932"/>
    <n v="5163"/>
    <n v="1153"/>
    <n v="15025"/>
    <n v="5684"/>
    <n v="21341"/>
    <n v="5.5E-2"/>
    <n v="0.19399999999999998"/>
    <n v="0.154"/>
    <n v="51.26"/>
    <n v="283.96499999999997"/>
    <n v="223.68199999999999"/>
    <n v="2914.8499999999995"/>
    <n v="3138.5319999999992"/>
    <n v="3286.5140000000001"/>
  </r>
  <r>
    <x v="62"/>
    <x v="2"/>
    <s v="Rural"/>
    <n v="99112"/>
    <n v="3362"/>
    <n v="16989"/>
    <n v="3400"/>
    <n v="49378"/>
    <n v="25983"/>
    <n v="69767"/>
    <n v="4.5999999999999999E-2"/>
    <n v="0.14300000000000002"/>
    <n v="0.115"/>
    <n v="154.65199999999999"/>
    <n v="781.49400000000003"/>
    <n v="486.20000000000005"/>
    <n v="7061.054000000001"/>
    <n v="7547.2540000000008"/>
    <n v="8023.2049999999999"/>
  </r>
  <r>
    <x v="63"/>
    <x v="3"/>
    <s v="Urban"/>
    <n v="94420"/>
    <n v="3183"/>
    <n v="16842"/>
    <n v="3581"/>
    <n v="53298"/>
    <n v="17516"/>
    <n v="73721"/>
    <n v="4.2999999999999997E-2"/>
    <n v="0.14699999999999999"/>
    <n v="0.11800000000000001"/>
    <n v="136.869"/>
    <n v="724.2059999999999"/>
    <n v="526.40699999999993"/>
    <n v="7834.8059999999996"/>
    <n v="8361.2129999999997"/>
    <n v="8699.0780000000013"/>
  </r>
  <r>
    <x v="64"/>
    <x v="3"/>
    <s v="Urban"/>
    <n v="230919"/>
    <n v="6936"/>
    <n v="36128"/>
    <n v="12093"/>
    <n v="136133"/>
    <n v="39629"/>
    <n v="184354"/>
    <n v="4.0999999999999995E-2"/>
    <n v="0.13100000000000001"/>
    <n v="0.109"/>
    <n v="284.37599999999998"/>
    <n v="1481.2479999999998"/>
    <n v="1584.183"/>
    <n v="17833.423000000003"/>
    <n v="19417.606000000003"/>
    <n v="20094.585999999999"/>
  </r>
  <r>
    <x v="65"/>
    <x v="3"/>
    <s v="Rural"/>
    <n v="20470"/>
    <n v="608"/>
    <n v="3211"/>
    <n v="545"/>
    <n v="11337"/>
    <n v="4769"/>
    <n v="15093"/>
    <n v="4.4000000000000004E-2"/>
    <n v="0.14599999999999999"/>
    <n v="0.12"/>
    <n v="26.752000000000002"/>
    <n v="141.28400000000002"/>
    <n v="79.569999999999993"/>
    <n v="1655.202"/>
    <n v="1734.7719999999999"/>
    <n v="1811.1599999999999"/>
  </r>
  <r>
    <x v="66"/>
    <x v="3"/>
    <s v="Urban"/>
    <n v="197455"/>
    <n v="11425"/>
    <n v="47194"/>
    <n v="15113"/>
    <n v="105145"/>
    <n v="18578"/>
    <n v="167452"/>
    <n v="3.1E-2"/>
    <n v="0.125"/>
    <n v="9.6000000000000002E-2"/>
    <n v="354.17500000000001"/>
    <n v="1463.0139999999999"/>
    <n v="1889.125"/>
    <n v="13143.125"/>
    <n v="15032.25"/>
    <n v="16075.392"/>
  </r>
  <r>
    <x v="67"/>
    <x v="0"/>
    <s v="Urban"/>
    <n v="143873"/>
    <n v="3651"/>
    <n v="22650"/>
    <n v="12218"/>
    <n v="85059"/>
    <n v="20295"/>
    <n v="119927"/>
    <n v="5.0999999999999997E-2"/>
    <n v="0.12"/>
    <n v="0.10199999999999999"/>
    <n v="186.20099999999999"/>
    <n v="1155.1499999999999"/>
    <n v="1466.1599999999999"/>
    <n v="10207.08"/>
    <n v="11673.24"/>
    <n v="12232.554"/>
  </r>
  <r>
    <x v="68"/>
    <x v="3"/>
    <s v="Urban"/>
    <n v="13288"/>
    <n v="309"/>
    <n v="1734"/>
    <n v="332"/>
    <n v="7122"/>
    <n v="3791"/>
    <n v="9188"/>
    <n v="6.0999999999999999E-2"/>
    <n v="0.156"/>
    <n v="0.13400000000000001"/>
    <n v="18.849"/>
    <n v="105.774"/>
    <n v="51.792000000000002"/>
    <n v="1111.0319999999999"/>
    <n v="1162.8239999999998"/>
    <n v="1231.192"/>
  </r>
  <r>
    <x v="69"/>
    <x v="3"/>
    <s v="Rural"/>
    <n v="40805"/>
    <n v="1476"/>
    <n v="7812"/>
    <n v="2465"/>
    <n v="22726"/>
    <n v="6326"/>
    <n v="33003"/>
    <n v="0.04"/>
    <n v="0.151"/>
    <n v="0.12"/>
    <n v="59.04"/>
    <n v="312.48"/>
    <n v="372.21499999999997"/>
    <n v="3431.6259999999997"/>
    <n v="3803.8409999999999"/>
    <n v="3960.3599999999997"/>
  </r>
  <r>
    <x v="70"/>
    <x v="3"/>
    <s v="Urban"/>
    <n v="62551"/>
    <n v="1950"/>
    <n v="10932"/>
    <n v="2409"/>
    <n v="36010"/>
    <n v="11250"/>
    <n v="49351"/>
    <n v="5.4000000000000006E-2"/>
    <n v="0.16399999999999998"/>
    <n v="0.13400000000000001"/>
    <n v="105.30000000000001"/>
    <n v="590.32800000000009"/>
    <n v="395.07599999999996"/>
    <n v="5905.6399999999994"/>
    <n v="6300.7159999999994"/>
    <n v="6613.0340000000006"/>
  </r>
  <r>
    <x v="71"/>
    <x v="3"/>
    <s v="Rural"/>
    <n v="13564"/>
    <n v="382"/>
    <n v="2145"/>
    <n v="414"/>
    <n v="6991"/>
    <n v="3632"/>
    <n v="9550"/>
    <n v="5.4000000000000006E-2"/>
    <n v="0.14800000000000002"/>
    <n v="0.124"/>
    <n v="20.628000000000004"/>
    <n v="115.83000000000001"/>
    <n v="61.272000000000006"/>
    <n v="1034.6680000000001"/>
    <n v="1095.94"/>
    <n v="1184.2"/>
  </r>
  <r>
    <x v="72"/>
    <x v="0"/>
    <s v="Urban"/>
    <n v="39997"/>
    <n v="1308"/>
    <n v="7053"/>
    <n v="1239"/>
    <n v="22697"/>
    <n v="7700"/>
    <n v="30989"/>
    <n v="0.05"/>
    <n v="0.153"/>
    <n v="0.125"/>
    <n v="65.400000000000006"/>
    <n v="352.65000000000003"/>
    <n v="189.56700000000001"/>
    <n v="3472.6410000000001"/>
    <n v="3662.2080000000001"/>
    <n v="3873.625"/>
  </r>
  <r>
    <x v="73"/>
    <x v="3"/>
    <s v="Urban"/>
    <n v="176920"/>
    <n v="6213"/>
    <n v="32553"/>
    <n v="14907"/>
    <n v="100393"/>
    <n v="22854"/>
    <n v="147853"/>
    <n v="4.0999999999999995E-2"/>
    <n v="0.151"/>
    <n v="0.12300000000000001"/>
    <n v="254.73299999999998"/>
    <n v="1334.6729999999998"/>
    <n v="2250.9569999999999"/>
    <n v="15159.342999999999"/>
    <n v="17410.3"/>
    <n v="18185.919000000002"/>
  </r>
  <r>
    <x v="74"/>
    <x v="1"/>
    <s v="Rural"/>
    <n v="21273"/>
    <n v="479"/>
    <n v="2932"/>
    <n v="593"/>
    <n v="10962"/>
    <n v="6307"/>
    <n v="14487"/>
    <n v="5.7999999999999996E-2"/>
    <n v="0.14400000000000002"/>
    <n v="0.124"/>
    <n v="27.781999999999996"/>
    <n v="170.05599999999998"/>
    <n v="85.39200000000001"/>
    <n v="1578.5280000000002"/>
    <n v="1663.9200000000003"/>
    <n v="1796.3879999999999"/>
  </r>
  <r>
    <x v="75"/>
    <x v="2"/>
    <s v="Urban"/>
    <n v="145633"/>
    <n v="4816"/>
    <n v="27263"/>
    <n v="6113"/>
    <n v="82107"/>
    <n v="25334"/>
    <n v="115483"/>
    <n v="5.0999999999999997E-2"/>
    <n v="0.193"/>
    <n v="0.153"/>
    <n v="245.61599999999999"/>
    <n v="1390.413"/>
    <n v="1179.809"/>
    <n v="15846.651"/>
    <n v="17026.46"/>
    <n v="17668.899000000001"/>
  </r>
  <r>
    <x v="76"/>
    <x v="2"/>
    <s v="Rural"/>
    <n v="44812"/>
    <n v="1562"/>
    <n v="8565"/>
    <n v="2136"/>
    <n v="24618"/>
    <n v="7931"/>
    <n v="35319"/>
    <n v="4.4999999999999998E-2"/>
    <n v="0.17300000000000001"/>
    <n v="0.13699999999999998"/>
    <n v="70.289999999999992"/>
    <n v="385.42500000000001"/>
    <n v="369.52800000000002"/>
    <n v="4258.9140000000007"/>
    <n v="4628.4420000000009"/>
    <n v="4838.7029999999995"/>
  </r>
  <r>
    <x v="77"/>
    <x v="4"/>
    <s v="Rural"/>
    <n v="131384"/>
    <n v="5067"/>
    <n v="26423"/>
    <n v="7884"/>
    <n v="72415"/>
    <n v="19595"/>
    <n v="106722"/>
    <n v="4.9000000000000002E-2"/>
    <n v="0.24299999999999999"/>
    <n v="0.184"/>
    <n v="248.28300000000002"/>
    <n v="1294.7270000000001"/>
    <n v="1915.8119999999999"/>
    <n v="17596.845000000001"/>
    <n v="19512.656999999999"/>
    <n v="19636.847999999998"/>
  </r>
  <r>
    <x v="78"/>
    <x v="0"/>
    <s v="Urban"/>
    <n v="91731"/>
    <n v="2926"/>
    <n v="15647"/>
    <n v="3234"/>
    <n v="51733"/>
    <n v="18191"/>
    <n v="70614"/>
    <n v="4.4999999999999998E-2"/>
    <n v="0.16699999999999998"/>
    <n v="0.13600000000000001"/>
    <n v="131.66999999999999"/>
    <n v="704.11500000000001"/>
    <n v="540.07799999999997"/>
    <n v="8639.4109999999982"/>
    <n v="9179.4889999999978"/>
    <n v="9603.5040000000008"/>
  </r>
  <r>
    <x v="79"/>
    <x v="0"/>
    <s v="Urban"/>
    <n v="142862"/>
    <n v="4833"/>
    <n v="27048"/>
    <n v="5716"/>
    <n v="80676"/>
    <n v="24589"/>
    <n v="113440"/>
    <n v="4.2999999999999997E-2"/>
    <n v="0.16"/>
    <n v="0.127"/>
    <n v="207.81899999999999"/>
    <n v="1163.0639999999999"/>
    <n v="914.56000000000006"/>
    <n v="12908.16"/>
    <n v="13822.72"/>
    <n v="14406.880000000001"/>
  </r>
  <r>
    <x v="80"/>
    <x v="1"/>
    <s v="Rural"/>
    <n v="67880"/>
    <n v="2156"/>
    <n v="11705"/>
    <n v="2385"/>
    <n v="37461"/>
    <n v="14173"/>
    <n v="51551"/>
    <n v="4.4999999999999998E-2"/>
    <n v="0.17399999999999999"/>
    <n v="0.13900000000000001"/>
    <n v="97.02"/>
    <n v="526.72500000000002"/>
    <n v="414.98999999999995"/>
    <n v="6518.2139999999999"/>
    <n v="6933.2039999999997"/>
    <n v="7165.5890000000009"/>
  </r>
  <r>
    <x v="81"/>
    <x v="4"/>
    <s v="Rural"/>
    <n v="62821"/>
    <n v="2412"/>
    <n v="12890"/>
    <n v="2736"/>
    <n v="33790"/>
    <n v="10993"/>
    <n v="49416"/>
    <n v="7.0000000000000007E-2"/>
    <n v="0.23800000000000002"/>
    <n v="0.188"/>
    <n v="168.84"/>
    <n v="902.30000000000007"/>
    <n v="651.16800000000001"/>
    <n v="8042.02"/>
    <n v="8693.1880000000001"/>
    <n v="9290.2080000000005"/>
  </r>
  <r>
    <x v="82"/>
    <x v="4"/>
    <s v="Rural"/>
    <n v="35598"/>
    <n v="1384"/>
    <n v="6923"/>
    <n v="1356"/>
    <n v="19520"/>
    <n v="6415"/>
    <n v="27799"/>
    <n v="4.2000000000000003E-2"/>
    <n v="0.17399999999999999"/>
    <n v="0.13400000000000001"/>
    <n v="58.128"/>
    <n v="290.76600000000002"/>
    <n v="235.94399999999999"/>
    <n v="3396.4799999999996"/>
    <n v="3632.4239999999995"/>
    <n v="3725.0660000000003"/>
  </r>
  <r>
    <x v="83"/>
    <x v="0"/>
    <s v="Rural"/>
    <n v="63069"/>
    <n v="2055"/>
    <n v="11143"/>
    <n v="2385"/>
    <n v="35554"/>
    <n v="11932"/>
    <n v="49082"/>
    <n v="4.5999999999999999E-2"/>
    <n v="0.14899999999999999"/>
    <n v="0.12"/>
    <n v="94.53"/>
    <n v="512.57799999999997"/>
    <n v="355.36500000000001"/>
    <n v="5297.5459999999994"/>
    <n v="5652.9109999999991"/>
    <n v="5889.84"/>
  </r>
  <r>
    <x v="84"/>
    <x v="0"/>
    <s v="Urban"/>
    <n v="46708"/>
    <n v="1291"/>
    <n v="7307"/>
    <n v="1456"/>
    <n v="27246"/>
    <n v="9408"/>
    <n v="36009"/>
    <n v="4.5999999999999999E-2"/>
    <n v="0.14000000000000001"/>
    <n v="0.11699999999999999"/>
    <n v="59.385999999999996"/>
    <n v="336.12200000000001"/>
    <n v="203.84000000000003"/>
    <n v="3814.4400000000005"/>
    <n v="4018.2800000000007"/>
    <n v="4213.0529999999999"/>
  </r>
  <r>
    <x v="85"/>
    <x v="5"/>
    <s v="Rural"/>
    <n v="72844"/>
    <n v="2250"/>
    <n v="12822"/>
    <n v="3029"/>
    <n v="40464"/>
    <n v="14279"/>
    <n v="56315"/>
    <n v="5.0999999999999997E-2"/>
    <n v="0.187"/>
    <n v="0.15"/>
    <n v="114.74999999999999"/>
    <n v="653.92199999999991"/>
    <n v="566.423"/>
    <n v="7566.768"/>
    <n v="8133.1909999999998"/>
    <n v="8447.25"/>
  </r>
  <r>
    <x v="86"/>
    <x v="1"/>
    <s v="Rural"/>
    <n v="15142"/>
    <n v="620"/>
    <n v="2928"/>
    <n v="502"/>
    <n v="8132"/>
    <n v="2960"/>
    <n v="11562"/>
    <n v="7.8E-2"/>
    <n v="0.221"/>
    <n v="0.18100000000000002"/>
    <n v="48.36"/>
    <n v="228.38399999999999"/>
    <n v="110.94200000000001"/>
    <n v="1797.172"/>
    <n v="1908.114"/>
    <n v="2092.7220000000002"/>
  </r>
  <r>
    <x v="87"/>
    <x v="1"/>
    <s v="Rural"/>
    <n v="34814"/>
    <n v="900"/>
    <n v="4771"/>
    <n v="1331"/>
    <n v="16978"/>
    <n v="10834"/>
    <n v="23080"/>
    <n v="5.5E-2"/>
    <n v="0.16500000000000001"/>
    <n v="0.14000000000000001"/>
    <n v="49.5"/>
    <n v="262.40500000000003"/>
    <n v="219.61500000000001"/>
    <n v="2801.3700000000003"/>
    <n v="3020.9850000000006"/>
    <n v="3231.2000000000003"/>
  </r>
  <r>
    <x v="88"/>
    <x v="3"/>
    <s v="Rural"/>
    <n v="4137"/>
    <n v="133"/>
    <n v="632"/>
    <n v="123"/>
    <n v="2430"/>
    <n v="819"/>
    <n v="3185"/>
    <n v="6.9000000000000006E-2"/>
    <n v="0.215"/>
    <n v="0.17399999999999999"/>
    <n v="9.1770000000000014"/>
    <n v="43.608000000000004"/>
    <n v="26.445"/>
    <n v="522.45000000000005"/>
    <n v="548.8950000000001"/>
    <n v="554.18999999999994"/>
  </r>
  <r>
    <x v="89"/>
    <x v="0"/>
    <s v="Urban"/>
    <n v="232425"/>
    <n v="8108"/>
    <n v="49688"/>
    <n v="10799"/>
    <n v="134257"/>
    <n v="29573"/>
    <n v="194744"/>
    <n v="3.6000000000000004E-2"/>
    <n v="0.129"/>
    <n v="9.9000000000000005E-2"/>
    <n v="291.88800000000003"/>
    <n v="1788.7680000000003"/>
    <n v="1393.0710000000001"/>
    <n v="17319.153000000002"/>
    <n v="18712.224000000002"/>
    <n v="19279.656000000003"/>
  </r>
  <r>
    <x v="90"/>
    <x v="0"/>
    <s v="Rural"/>
    <n v="44785"/>
    <n v="1660"/>
    <n v="8835"/>
    <n v="1799"/>
    <n v="24485"/>
    <n v="8006"/>
    <n v="35119"/>
    <n v="4.0999999999999995E-2"/>
    <n v="0.158"/>
    <n v="0.124"/>
    <n v="68.059999999999988"/>
    <n v="362.23499999999996"/>
    <n v="284.24200000000002"/>
    <n v="3868.63"/>
    <n v="4152.8720000000003"/>
    <n v="4354.7560000000003"/>
  </r>
  <r>
    <x v="91"/>
    <x v="6"/>
    <s v="Urban"/>
    <n v="1071240"/>
    <n v="39175"/>
    <n v="215774"/>
    <n v="44740"/>
    <n v="648171"/>
    <n v="123380"/>
    <n v="908685"/>
    <n v="0.04"/>
    <n v="0.113"/>
    <n v="9.1999999999999998E-2"/>
    <n v="1567"/>
    <n v="8630.9600000000009"/>
    <n v="5055.62"/>
    <n v="73243.323000000004"/>
    <n v="78298.942999999999"/>
    <n v="83599.02"/>
  </r>
  <r>
    <x v="92"/>
    <x v="0"/>
    <s v="Rural"/>
    <n v="20068"/>
    <n v="578"/>
    <n v="3142"/>
    <n v="565"/>
    <n v="10985"/>
    <n v="4798"/>
    <n v="14692"/>
    <n v="6.7000000000000004E-2"/>
    <n v="0.19899999999999998"/>
    <n v="0.16600000000000001"/>
    <n v="38.725999999999999"/>
    <n v="210.51400000000001"/>
    <n v="112.43499999999999"/>
    <n v="2186.0149999999999"/>
    <n v="2298.4499999999998"/>
    <n v="2438.8720000000003"/>
  </r>
  <r>
    <x v="93"/>
    <x v="3"/>
    <s v="Rural"/>
    <n v="12272"/>
    <n v="411"/>
    <n v="2228"/>
    <n v="330"/>
    <n v="6394"/>
    <n v="2909"/>
    <n v="8952"/>
    <n v="4.5999999999999999E-2"/>
    <n v="0.156"/>
    <n v="0.127"/>
    <n v="18.905999999999999"/>
    <n v="102.488"/>
    <n v="51.48"/>
    <n v="997.46399999999994"/>
    <n v="1048.944"/>
    <n v="1136.904"/>
  </r>
  <r>
    <x v="94"/>
    <x v="1"/>
    <s v="Rural"/>
    <n v="57348"/>
    <n v="1161"/>
    <n v="6088"/>
    <n v="8806"/>
    <n v="32114"/>
    <n v="9179"/>
    <n v="47008"/>
    <n v="6.5000000000000002E-2"/>
    <n v="0.14699999999999999"/>
    <n v="0.13200000000000001"/>
    <n v="75.465000000000003"/>
    <n v="395.72"/>
    <n v="1294.482"/>
    <n v="4720.7579999999998"/>
    <n v="6015.24"/>
    <n v="6205.0560000000005"/>
  </r>
  <r>
    <x v="95"/>
    <x v="4"/>
    <s v="Urban"/>
    <n v="125509"/>
    <n v="4947"/>
    <n v="25716"/>
    <n v="5079"/>
    <n v="69648"/>
    <n v="20119"/>
    <n v="100443"/>
    <n v="5.0999999999999997E-2"/>
    <n v="0.18600000000000003"/>
    <n v="0.14699999999999999"/>
    <n v="252.297"/>
    <n v="1311.5159999999998"/>
    <n v="944.69400000000019"/>
    <n v="12954.528000000002"/>
    <n v="13899.222000000002"/>
    <n v="14765.120999999999"/>
  </r>
  <r>
    <x v="96"/>
    <x v="1"/>
    <s v="Rural"/>
    <n v="70883"/>
    <n v="2182"/>
    <n v="12101"/>
    <n v="2532"/>
    <n v="39082"/>
    <n v="14986"/>
    <n v="53715"/>
    <n v="4.9000000000000002E-2"/>
    <n v="0.185"/>
    <n v="0.14899999999999999"/>
    <n v="106.91800000000001"/>
    <n v="592.94900000000007"/>
    <n v="468.42"/>
    <n v="7230.17"/>
    <n v="7698.59"/>
    <n v="8003.5349999999999"/>
  </r>
  <r>
    <x v="97"/>
    <x v="4"/>
    <s v="Rural"/>
    <n v="82408"/>
    <n v="2929"/>
    <n v="15832"/>
    <n v="3123"/>
    <n v="45931"/>
    <n v="14593"/>
    <n v="64886"/>
    <n v="4.4000000000000004E-2"/>
    <n v="0.17199999999999999"/>
    <n v="0.13600000000000001"/>
    <n v="128.876"/>
    <n v="696.60800000000006"/>
    <n v="537.15599999999995"/>
    <n v="7900.1319999999996"/>
    <n v="8437.2880000000005"/>
    <n v="8824.496000000001"/>
  </r>
  <r>
    <x v="98"/>
    <x v="5"/>
    <s v="Urban"/>
    <n v="37700"/>
    <n v="1206"/>
    <n v="6555"/>
    <n v="1411"/>
    <n v="21207"/>
    <n v="7321"/>
    <n v="29173"/>
    <n v="5.9000000000000004E-2"/>
    <n v="0.17499999999999999"/>
    <n v="0.14400000000000002"/>
    <n v="71.154000000000011"/>
    <n v="386.745"/>
    <n v="246.92499999999998"/>
    <n v="3711.2249999999999"/>
    <n v="3958.15"/>
    <n v="4200.9120000000003"/>
  </r>
  <r>
    <x v="99"/>
    <x v="1"/>
    <s v="Rural"/>
    <n v="18254"/>
    <n v="534"/>
    <n v="2791"/>
    <n v="542"/>
    <n v="9872"/>
    <n v="4515"/>
    <n v="13205"/>
    <n v="6.2E-2"/>
    <n v="0.17100000000000001"/>
    <n v="0.14400000000000002"/>
    <n v="33.107999999999997"/>
    <n v="173.042"/>
    <n v="92.682000000000002"/>
    <n v="1688.1120000000001"/>
    <n v="1780.7940000000001"/>
    <n v="1901.520000000000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1309"/>
    <n v="5448"/>
    <n v="30121"/>
    <n v="8181"/>
    <n v="90585"/>
    <n v="26974"/>
    <n v="128887"/>
    <n v="4.4999999999999998E-2"/>
    <n v="0.17899999999999999"/>
    <n v="0.14099999999999999"/>
    <n v="245.16"/>
    <n v="1355.4449999999999"/>
    <n v="1464.3989999999999"/>
    <n v="16214.715"/>
    <n v="17679.114000000001"/>
    <n v="18173.066999999999"/>
  </r>
  <r>
    <x v="1"/>
    <x v="1"/>
    <s v="Urban"/>
    <n v="38151"/>
    <n v="1092"/>
    <n v="6605"/>
    <n v="1301"/>
    <n v="21761"/>
    <n v="7392"/>
    <n v="29667"/>
    <n v="4.7E-2"/>
    <n v="0.14300000000000002"/>
    <n v="0.11699999999999999"/>
    <n v="51.323999999999998"/>
    <n v="310.435"/>
    <n v="186.04300000000003"/>
    <n v="3111.8230000000003"/>
    <n v="3297.8660000000004"/>
    <n v="3471.0389999999998"/>
  </r>
  <r>
    <x v="2"/>
    <x v="1"/>
    <s v="Rural"/>
    <n v="11321"/>
    <n v="302"/>
    <n v="1698"/>
    <n v="378"/>
    <n v="6105"/>
    <n v="2838"/>
    <n v="8181"/>
    <n v="8.5000000000000006E-2"/>
    <n v="0.21299999999999999"/>
    <n v="0.182"/>
    <n v="25.67"/>
    <n v="144.33000000000001"/>
    <n v="80.513999999999996"/>
    <n v="1300.365"/>
    <n v="1380.8789999999999"/>
    <n v="1488.942"/>
  </r>
  <r>
    <x v="3"/>
    <x v="2"/>
    <s v="Rural"/>
    <n v="26156"/>
    <n v="742"/>
    <n v="4543"/>
    <n v="916"/>
    <n v="15506"/>
    <n v="4449"/>
    <n v="20965"/>
    <n v="4.4999999999999998E-2"/>
    <n v="0.17"/>
    <n v="0.13699999999999998"/>
    <n v="33.39"/>
    <n v="204.435"/>
    <n v="155.72"/>
    <n v="2636.02"/>
    <n v="2791.74"/>
    <n v="2872.2049999999995"/>
  </r>
  <r>
    <x v="4"/>
    <x v="1"/>
    <s v="Rural"/>
    <n v="27255"/>
    <n v="696"/>
    <n v="4253"/>
    <n v="902"/>
    <n v="14739"/>
    <n v="6665"/>
    <n v="19894"/>
    <n v="6.7000000000000004E-2"/>
    <n v="0.20699999999999999"/>
    <n v="0.17300000000000001"/>
    <n v="46.632000000000005"/>
    <n v="284.95100000000002"/>
    <n v="186.714"/>
    <n v="3050.973"/>
    <n v="3237.6869999999999"/>
    <n v="3441.6620000000003"/>
  </r>
  <r>
    <x v="5"/>
    <x v="1"/>
    <s v="Rural"/>
    <n v="17855"/>
    <n v="425"/>
    <n v="2349"/>
    <n v="618"/>
    <n v="10676"/>
    <n v="3787"/>
    <n v="13643"/>
    <n v="7.9000000000000001E-2"/>
    <n v="0.20499999999999999"/>
    <n v="0.17600000000000002"/>
    <n v="33.575000000000003"/>
    <n v="185.571"/>
    <n v="126.69"/>
    <n v="2188.58"/>
    <n v="2315.27"/>
    <n v="2401.1680000000001"/>
  </r>
  <r>
    <x v="6"/>
    <x v="3"/>
    <s v="Rural"/>
    <n v="47826"/>
    <n v="1441"/>
    <n v="8396"/>
    <n v="1532"/>
    <n v="25151"/>
    <n v="11306"/>
    <n v="35079"/>
    <n v="0.05"/>
    <n v="0.16500000000000001"/>
    <n v="0.13400000000000001"/>
    <n v="72.05"/>
    <n v="419.8"/>
    <n v="252.78"/>
    <n v="4149.915"/>
    <n v="4402.6949999999997"/>
    <n v="4700.5860000000002"/>
  </r>
  <r>
    <x v="7"/>
    <x v="3"/>
    <s v="Rural"/>
    <n v="20312"/>
    <n v="580"/>
    <n v="3293"/>
    <n v="718"/>
    <n v="11710"/>
    <n v="4011"/>
    <n v="15721"/>
    <n v="4.4000000000000004E-2"/>
    <n v="0.153"/>
    <n v="0.126"/>
    <n v="25.520000000000003"/>
    <n v="144.89200000000002"/>
    <n v="109.854"/>
    <n v="1791.6299999999999"/>
    <n v="1901.4839999999999"/>
    <n v="1980.846"/>
  </r>
  <r>
    <x v="8"/>
    <x v="4"/>
    <s v="Rural"/>
    <n v="35012"/>
    <n v="1109"/>
    <n v="6252"/>
    <n v="1293"/>
    <n v="19465"/>
    <n v="6893"/>
    <n v="27010"/>
    <n v="0.06"/>
    <n v="0.20399999999999999"/>
    <n v="0.16600000000000001"/>
    <n v="66.539999999999992"/>
    <n v="375.12"/>
    <n v="263.77199999999999"/>
    <n v="3970.8599999999997"/>
    <n v="4234.6319999999996"/>
    <n v="4483.66"/>
  </r>
  <r>
    <x v="9"/>
    <x v="3"/>
    <s v="Urban"/>
    <n v="128891"/>
    <n v="3305"/>
    <n v="18729"/>
    <n v="3319"/>
    <n v="66122"/>
    <n v="37416"/>
    <n v="88170"/>
    <n v="5.2000000000000005E-2"/>
    <n v="0.17600000000000002"/>
    <n v="0.14699999999999999"/>
    <n v="171.86"/>
    <n v="973.90800000000013"/>
    <n v="584.14400000000001"/>
    <n v="11637.472000000002"/>
    <n v="12221.616000000002"/>
    <n v="12960.99"/>
  </r>
  <r>
    <x v="10"/>
    <x v="1"/>
    <s v="Urban"/>
    <n v="261031"/>
    <n v="7949"/>
    <n v="42196"/>
    <n v="8670"/>
    <n v="151812"/>
    <n v="50404"/>
    <n v="202678"/>
    <n v="4.2000000000000003E-2"/>
    <n v="0.16399999999999998"/>
    <n v="0.13400000000000001"/>
    <n v="333.858"/>
    <n v="1772.2320000000002"/>
    <n v="1421.8799999999999"/>
    <n v="24897.167999999998"/>
    <n v="26319.047999999999"/>
    <n v="27158.852000000003"/>
  </r>
  <r>
    <x v="11"/>
    <x v="5"/>
    <s v="Urban"/>
    <n v="89416"/>
    <n v="2664"/>
    <n v="15414"/>
    <n v="4277"/>
    <n v="49683"/>
    <n v="17378"/>
    <n v="69374"/>
    <n v="4.2999999999999997E-2"/>
    <n v="0.19"/>
    <n v="0.154"/>
    <n v="114.55199999999999"/>
    <n v="662.80199999999991"/>
    <n v="812.63"/>
    <n v="9439.77"/>
    <n v="10252.4"/>
    <n v="10683.596"/>
  </r>
  <r>
    <x v="12"/>
    <x v="0"/>
    <s v="Urban"/>
    <n v="205097"/>
    <n v="7596"/>
    <n v="43710"/>
    <n v="8086"/>
    <n v="118904"/>
    <n v="26801"/>
    <n v="170700"/>
    <n v="4.5999999999999999E-2"/>
    <n v="0.13800000000000001"/>
    <n v="0.11"/>
    <n v="349.416"/>
    <n v="2010.6599999999999"/>
    <n v="1115.8680000000002"/>
    <n v="16408.752"/>
    <n v="17524.62"/>
    <n v="18777"/>
  </r>
  <r>
    <x v="13"/>
    <x v="1"/>
    <s v="Urban"/>
    <n v="82815"/>
    <n v="2442"/>
    <n v="14220"/>
    <n v="3391"/>
    <n v="47240"/>
    <n v="15522"/>
    <n v="64851"/>
    <n v="4.4999999999999998E-2"/>
    <n v="0.188"/>
    <n v="0.151"/>
    <n v="109.89"/>
    <n v="639.9"/>
    <n v="637.50800000000004"/>
    <n v="8881.1200000000008"/>
    <n v="9518.6280000000006"/>
    <n v="9792.5010000000002"/>
  </r>
  <r>
    <x v="14"/>
    <x v="3"/>
    <s v="Rural"/>
    <n v="10223"/>
    <n v="304"/>
    <n v="1809"/>
    <n v="369"/>
    <n v="6081"/>
    <n v="1660"/>
    <n v="8259"/>
    <n v="5.9000000000000004E-2"/>
    <n v="0.127"/>
    <n v="0.10800000000000001"/>
    <n v="17.936"/>
    <n v="106.73100000000001"/>
    <n v="46.863"/>
    <n v="772.28700000000003"/>
    <n v="819.15000000000009"/>
    <n v="891.97200000000009"/>
  </r>
  <r>
    <x v="15"/>
    <x v="3"/>
    <s v="Rural"/>
    <n v="70401"/>
    <n v="1851"/>
    <n v="10468"/>
    <n v="2189"/>
    <n v="39113"/>
    <n v="16780"/>
    <n v="51770"/>
    <n v="0.05"/>
    <n v="0.159"/>
    <n v="0.13300000000000001"/>
    <n v="92.550000000000011"/>
    <n v="523.4"/>
    <n v="348.05099999999999"/>
    <n v="6218.9669999999996"/>
    <n v="6567.018"/>
    <n v="6885.4100000000008"/>
  </r>
  <r>
    <x v="16"/>
    <x v="0"/>
    <s v="Rural"/>
    <n v="23611"/>
    <n v="641"/>
    <n v="3676"/>
    <n v="741"/>
    <n v="13856"/>
    <n v="4697"/>
    <n v="18273"/>
    <n v="5.0999999999999997E-2"/>
    <n v="0.156"/>
    <n v="0.129"/>
    <n v="32.690999999999995"/>
    <n v="187.476"/>
    <n v="115.596"/>
    <n v="2161.5360000000001"/>
    <n v="2277.1320000000001"/>
    <n v="2357.2170000000001"/>
  </r>
  <r>
    <x v="17"/>
    <x v="5"/>
    <s v="Urban"/>
    <n v="156381"/>
    <n v="5312"/>
    <n v="29446"/>
    <n v="6165"/>
    <n v="88745"/>
    <n v="26713"/>
    <n v="124356"/>
    <n v="4.4999999999999998E-2"/>
    <n v="0.17600000000000002"/>
    <n v="0.13900000000000001"/>
    <n v="239.04"/>
    <n v="1325.07"/>
    <n v="1085.0400000000002"/>
    <n v="15619.12"/>
    <n v="16704.16"/>
    <n v="17285.484"/>
  </r>
  <r>
    <x v="18"/>
    <x v="0"/>
    <s v="Urban"/>
    <n v="74538"/>
    <n v="2020"/>
    <n v="12162"/>
    <n v="2179"/>
    <n v="39747"/>
    <n v="18430"/>
    <n v="54088"/>
    <n v="8.3000000000000004E-2"/>
    <n v="0.17600000000000002"/>
    <n v="0.151"/>
    <n v="167.66"/>
    <n v="1009.446"/>
    <n v="383.50400000000002"/>
    <n v="6995.4720000000007"/>
    <n v="7378.9760000000006"/>
    <n v="8167.2879999999996"/>
  </r>
  <r>
    <x v="19"/>
    <x v="1"/>
    <s v="Rural"/>
    <n v="27935"/>
    <n v="713"/>
    <n v="4155"/>
    <n v="819"/>
    <n v="14271"/>
    <n v="7977"/>
    <n v="19245"/>
    <n v="5.7000000000000002E-2"/>
    <n v="0.18100000000000002"/>
    <n v="0.15"/>
    <n v="40.640999999999998"/>
    <n v="236.83500000000001"/>
    <n v="148.239"/>
    <n v="2583.0510000000004"/>
    <n v="2731.2900000000004"/>
    <n v="2886.75"/>
  </r>
  <r>
    <x v="20"/>
    <x v="3"/>
    <s v="Rural"/>
    <n v="14297"/>
    <n v="475"/>
    <n v="2510"/>
    <n v="474"/>
    <n v="7465"/>
    <n v="3373"/>
    <n v="10449"/>
    <n v="0.06"/>
    <n v="0.16899999999999998"/>
    <n v="0.13900000000000001"/>
    <n v="28.5"/>
    <n v="150.6"/>
    <n v="80.105999999999995"/>
    <n v="1261.5849999999998"/>
    <n v="1341.6909999999998"/>
    <n v="1452.4110000000001"/>
  </r>
  <r>
    <x v="21"/>
    <x v="1"/>
    <s v="Rural"/>
    <n v="11140"/>
    <n v="269"/>
    <n v="1649"/>
    <n v="320"/>
    <n v="5602"/>
    <n v="3300"/>
    <n v="7571"/>
    <n v="7.400000000000001E-2"/>
    <n v="0.17699999999999999"/>
    <n v="0.151"/>
    <n v="19.906000000000002"/>
    <n v="122.02600000000001"/>
    <n v="56.64"/>
    <n v="991.55399999999997"/>
    <n v="1048.194"/>
    <n v="1143.221"/>
  </r>
  <r>
    <x v="22"/>
    <x v="5"/>
    <s v="Rural"/>
    <n v="98101"/>
    <n v="3248"/>
    <n v="17863"/>
    <n v="4324"/>
    <n v="54974"/>
    <n v="17692"/>
    <n v="77161"/>
    <n v="3.9E-2"/>
    <n v="0.16699999999999998"/>
    <n v="0.13200000000000001"/>
    <n v="126.672"/>
    <n v="696.65700000000004"/>
    <n v="722.10799999999995"/>
    <n v="9180.6579999999994"/>
    <n v="9902.7659999999996"/>
    <n v="10185.252"/>
  </r>
  <r>
    <x v="23"/>
    <x v="4"/>
    <s v="Rural"/>
    <n v="57089"/>
    <n v="1851"/>
    <n v="10377"/>
    <n v="2229"/>
    <n v="32151"/>
    <n v="10481"/>
    <n v="44757"/>
    <n v="5.7999999999999996E-2"/>
    <n v="0.191"/>
    <n v="0.153"/>
    <n v="107.35799999999999"/>
    <n v="601.86599999999999"/>
    <n v="425.73900000000003"/>
    <n v="6140.8410000000003"/>
    <n v="6566.58"/>
    <n v="6847.8209999999999"/>
  </r>
  <r>
    <x v="24"/>
    <x v="3"/>
    <s v="Urban"/>
    <n v="102826"/>
    <n v="4424"/>
    <n v="21919"/>
    <n v="4746"/>
    <n v="54410"/>
    <n v="17327"/>
    <n v="81075"/>
    <n v="4.5999999999999999E-2"/>
    <n v="0.14599999999999999"/>
    <n v="0.11800000000000001"/>
    <n v="203.50399999999999"/>
    <n v="1008.274"/>
    <n v="692.91599999999994"/>
    <n v="7943.86"/>
    <n v="8636.7759999999998"/>
    <n v="9566.85"/>
  </r>
  <r>
    <x v="25"/>
    <x v="6"/>
    <s v="Urban"/>
    <n v="327021"/>
    <n v="16003"/>
    <n v="70863"/>
    <n v="14982"/>
    <n v="185227"/>
    <n v="39946"/>
    <n v="271072"/>
    <n v="3.7000000000000005E-2"/>
    <n v="0.13800000000000001"/>
    <n v="0.10800000000000001"/>
    <n v="592.1110000000001"/>
    <n v="2621.9310000000005"/>
    <n v="2067.5160000000001"/>
    <n v="25561.326000000001"/>
    <n v="27628.842000000001"/>
    <n v="29275.776000000002"/>
  </r>
  <r>
    <x v="26"/>
    <x v="3"/>
    <s v="Urban"/>
    <n v="26764"/>
    <n v="837"/>
    <n v="4773"/>
    <n v="940"/>
    <n v="16030"/>
    <n v="4184"/>
    <n v="21743"/>
    <n v="5.5E-2"/>
    <n v="0.14699999999999999"/>
    <n v="0.122"/>
    <n v="46.035000000000004"/>
    <n v="262.51499999999999"/>
    <n v="138.17999999999998"/>
    <n v="2356.41"/>
    <n v="2494.5899999999997"/>
    <n v="2652.6459999999997"/>
  </r>
  <r>
    <x v="27"/>
    <x v="3"/>
    <s v="Rural"/>
    <n v="36791"/>
    <n v="1120"/>
    <n v="5869"/>
    <n v="904"/>
    <n v="21382"/>
    <n v="7516"/>
    <n v="28155"/>
    <n v="6.8000000000000005E-2"/>
    <n v="0.17199999999999999"/>
    <n v="0.14699999999999999"/>
    <n v="76.160000000000011"/>
    <n v="399.09200000000004"/>
    <n v="155.488"/>
    <n v="3677.7039999999997"/>
    <n v="3833.1919999999996"/>
    <n v="4138.7849999999999"/>
  </r>
  <r>
    <x v="28"/>
    <x v="0"/>
    <s v="Urban"/>
    <n v="166753"/>
    <n v="5438"/>
    <n v="30696"/>
    <n v="6052"/>
    <n v="95685"/>
    <n v="28882"/>
    <n v="132433"/>
    <n v="0.05"/>
    <n v="0.16500000000000001"/>
    <n v="0.13300000000000001"/>
    <n v="271.90000000000003"/>
    <n v="1534.8000000000002"/>
    <n v="998.58"/>
    <n v="15788.025000000001"/>
    <n v="16786.605000000003"/>
    <n v="17613.589"/>
  </r>
  <r>
    <x v="29"/>
    <x v="0"/>
    <s v="Urban"/>
    <n v="42234"/>
    <n v="1224"/>
    <n v="7346"/>
    <n v="1510"/>
    <n v="23740"/>
    <n v="8414"/>
    <n v="32596"/>
    <n v="5.9000000000000004E-2"/>
    <n v="0.156"/>
    <n v="0.13"/>
    <n v="72.216000000000008"/>
    <n v="433.41400000000004"/>
    <n v="235.56"/>
    <n v="3703.44"/>
    <n v="3939"/>
    <n v="4237.4800000000005"/>
  </r>
  <r>
    <x v="30"/>
    <x v="4"/>
    <s v="Rural"/>
    <n v="59864"/>
    <n v="2266"/>
    <n v="12205"/>
    <n v="2425"/>
    <n v="32716"/>
    <n v="10252"/>
    <n v="47346"/>
    <n v="7.0000000000000007E-2"/>
    <n v="0.27399999999999997"/>
    <n v="0.214"/>
    <n v="158.62"/>
    <n v="854.35000000000014"/>
    <n v="664.44999999999993"/>
    <n v="8964.1839999999993"/>
    <n v="9628.634"/>
    <n v="10132.044"/>
  </r>
  <r>
    <x v="31"/>
    <x v="6"/>
    <s v="Urban"/>
    <n v="307438"/>
    <n v="13237"/>
    <n v="59030"/>
    <n v="14323"/>
    <n v="183670"/>
    <n v="37178"/>
    <n v="257023"/>
    <n v="4.9000000000000002E-2"/>
    <n v="0.16800000000000001"/>
    <n v="0.13699999999999998"/>
    <n v="648.61300000000006"/>
    <n v="2892.4700000000003"/>
    <n v="2406.2640000000001"/>
    <n v="30856.560000000001"/>
    <n v="33262.824000000001"/>
    <n v="35212.150999999998"/>
  </r>
  <r>
    <x v="32"/>
    <x v="4"/>
    <s v="Urban"/>
    <n v="54133"/>
    <n v="1853"/>
    <n v="10645"/>
    <n v="1974"/>
    <n v="29587"/>
    <n v="10074"/>
    <n v="42206"/>
    <n v="3.5000000000000003E-2"/>
    <n v="0.156"/>
    <n v="0.122"/>
    <n v="64.855000000000004"/>
    <n v="372.57500000000005"/>
    <n v="307.94400000000002"/>
    <n v="4615.5720000000001"/>
    <n v="4923.5160000000005"/>
    <n v="5149.1319999999996"/>
  </r>
  <r>
    <x v="33"/>
    <x v="0"/>
    <s v="Urban"/>
    <n v="373145"/>
    <n v="13694"/>
    <n v="73598"/>
    <n v="15640"/>
    <n v="212985"/>
    <n v="57228"/>
    <n v="302223"/>
    <n v="0.04"/>
    <n v="0.16800000000000001"/>
    <n v="0.13100000000000001"/>
    <n v="547.76"/>
    <n v="2943.92"/>
    <n v="2627.52"/>
    <n v="35781.480000000003"/>
    <n v="38409"/>
    <n v="39591.213000000003"/>
  </r>
  <r>
    <x v="34"/>
    <x v="0"/>
    <s v="Urban"/>
    <n v="65736"/>
    <n v="2179"/>
    <n v="12414"/>
    <n v="2499"/>
    <n v="37923"/>
    <n v="10721"/>
    <n v="52836"/>
    <n v="5.5E-2"/>
    <n v="0.17499999999999999"/>
    <n v="0.14099999999999999"/>
    <n v="119.845"/>
    <n v="682.77"/>
    <n v="437.32499999999999"/>
    <n v="6636.5249999999996"/>
    <n v="7073.8499999999995"/>
    <n v="7449.8759999999993"/>
  </r>
  <r>
    <x v="35"/>
    <x v="5"/>
    <s v="Urban"/>
    <n v="216693"/>
    <n v="7637"/>
    <n v="41496"/>
    <n v="8421"/>
    <n v="124990"/>
    <n v="34149"/>
    <n v="174907"/>
    <n v="4.4000000000000004E-2"/>
    <n v="0.16300000000000001"/>
    <n v="0.13"/>
    <n v="336.02800000000002"/>
    <n v="1825.8240000000001"/>
    <n v="1372.623"/>
    <n v="20373.37"/>
    <n v="21745.992999999999"/>
    <n v="22737.91"/>
  </r>
  <r>
    <x v="36"/>
    <x v="3"/>
    <s v="Urban"/>
    <n v="11678"/>
    <n v="344"/>
    <n v="1915"/>
    <n v="436"/>
    <n v="6781"/>
    <n v="2202"/>
    <n v="9132"/>
    <n v="5.4000000000000006E-2"/>
    <n v="0.13100000000000001"/>
    <n v="0.111"/>
    <n v="18.576000000000001"/>
    <n v="103.41000000000001"/>
    <n v="57.116"/>
    <n v="888.31100000000004"/>
    <n v="945.42700000000002"/>
    <n v="1013.652"/>
  </r>
  <r>
    <x v="37"/>
    <x v="1"/>
    <s v="Rural"/>
    <n v="8684"/>
    <n v="270"/>
    <n v="1538"/>
    <n v="314"/>
    <n v="4506"/>
    <n v="2056"/>
    <n v="6358"/>
    <n v="6.7000000000000004E-2"/>
    <n v="0.20600000000000002"/>
    <n v="0.16800000000000001"/>
    <n v="18.09"/>
    <n v="103.04600000000001"/>
    <n v="64.684000000000012"/>
    <n v="928.2360000000001"/>
    <n v="992.92000000000007"/>
    <n v="1068.144"/>
  </r>
  <r>
    <x v="38"/>
    <x v="0"/>
    <s v="Rural"/>
    <n v="59315"/>
    <n v="1744"/>
    <n v="10048"/>
    <n v="2579"/>
    <n v="35346"/>
    <n v="9598"/>
    <n v="47973"/>
    <n v="5.2000000000000005E-2"/>
    <n v="0.13100000000000001"/>
    <n v="0.11"/>
    <n v="90.688000000000002"/>
    <n v="522.49600000000009"/>
    <n v="337.84899999999999"/>
    <n v="4630.326"/>
    <n v="4968.1750000000002"/>
    <n v="5277.03"/>
  </r>
  <r>
    <x v="39"/>
    <x v="4"/>
    <s v="Rural"/>
    <n v="21072"/>
    <n v="638"/>
    <n v="3874"/>
    <n v="793"/>
    <n v="12480"/>
    <n v="3287"/>
    <n v="17147"/>
    <n v="8.1000000000000003E-2"/>
    <n v="0.221"/>
    <n v="0.18100000000000002"/>
    <n v="51.678000000000004"/>
    <n v="313.79399999999998"/>
    <n v="175.25300000000001"/>
    <n v="2758.08"/>
    <n v="2933.3330000000001"/>
    <n v="3103.6070000000004"/>
  </r>
  <r>
    <x v="40"/>
    <x v="2"/>
    <s v="Urban"/>
    <n v="525464"/>
    <n v="18603"/>
    <n v="97266"/>
    <n v="26965"/>
    <n v="304797"/>
    <n v="77833"/>
    <n v="429028"/>
    <n v="4.4999999999999998E-2"/>
    <n v="0.16500000000000001"/>
    <n v="0.13200000000000001"/>
    <n v="837.13499999999999"/>
    <n v="4376.97"/>
    <n v="4449.2250000000004"/>
    <n v="50291.505000000005"/>
    <n v="54740.73"/>
    <n v="56631.696000000004"/>
  </r>
  <r>
    <x v="41"/>
    <x v="0"/>
    <s v="Rural"/>
    <n v="51702"/>
    <n v="1752"/>
    <n v="9396"/>
    <n v="1753"/>
    <n v="28633"/>
    <n v="10168"/>
    <n v="39782"/>
    <n v="4.0999999999999995E-2"/>
    <n v="0.16800000000000001"/>
    <n v="0.13400000000000001"/>
    <n v="71.831999999999994"/>
    <n v="385.23599999999993"/>
    <n v="294.50400000000002"/>
    <n v="4810.3440000000001"/>
    <n v="5104.848"/>
    <n v="5330.7880000000005"/>
  </r>
  <r>
    <x v="42"/>
    <x v="2"/>
    <s v="Rural"/>
    <n v="129996"/>
    <n v="5620"/>
    <n v="29681"/>
    <n v="6011"/>
    <n v="72513"/>
    <n v="16171"/>
    <n v="108205"/>
    <n v="3.9E-2"/>
    <n v="0.17300000000000001"/>
    <n v="0.13100000000000001"/>
    <n v="219.18"/>
    <n v="1157.559"/>
    <n v="1039.903"/>
    <n v="12544.749000000002"/>
    <n v="13584.652000000002"/>
    <n v="14174.855000000001"/>
  </r>
  <r>
    <x v="43"/>
    <x v="1"/>
    <s v="Urban"/>
    <n v="61623"/>
    <n v="1787"/>
    <n v="9413"/>
    <n v="1925"/>
    <n v="33187"/>
    <n v="15311"/>
    <n v="44525"/>
    <n v="4.2999999999999997E-2"/>
    <n v="0.14400000000000002"/>
    <n v="0.12"/>
    <n v="76.840999999999994"/>
    <n v="404.75899999999996"/>
    <n v="277.20000000000005"/>
    <n v="4778.9280000000008"/>
    <n v="5056.1280000000006"/>
    <n v="5343"/>
  </r>
  <r>
    <x v="44"/>
    <x v="1"/>
    <s v="Urban"/>
    <n v="115082"/>
    <n v="3322"/>
    <n v="18784"/>
    <n v="3398"/>
    <n v="59574"/>
    <n v="30004"/>
    <n v="81756"/>
    <n v="5.5E-2"/>
    <n v="0.17800000000000002"/>
    <n v="0.14599999999999999"/>
    <n v="182.71"/>
    <n v="1033.1200000000001"/>
    <n v="604.84400000000005"/>
    <n v="10604.172"/>
    <n v="11209.016"/>
    <n v="11936.375999999998"/>
  </r>
  <r>
    <x v="45"/>
    <x v="3"/>
    <s v="Rural"/>
    <n v="24379"/>
    <n v="713"/>
    <n v="4099"/>
    <n v="1262"/>
    <n v="13839"/>
    <n v="4466"/>
    <n v="19200"/>
    <n v="0.04"/>
    <n v="0.159"/>
    <n v="0.127"/>
    <n v="28.52"/>
    <n v="163.96"/>
    <n v="200.65800000000002"/>
    <n v="2200.4009999999998"/>
    <n v="2401.0589999999997"/>
    <n v="2438.4"/>
  </r>
  <r>
    <x v="46"/>
    <x v="2"/>
    <s v="Urban"/>
    <n v="54161"/>
    <n v="2825"/>
    <n v="13810"/>
    <n v="2249"/>
    <n v="30270"/>
    <n v="5007"/>
    <n v="46329"/>
    <n v="5.2999999999999999E-2"/>
    <n v="0.218"/>
    <n v="0.16600000000000001"/>
    <n v="149.72499999999999"/>
    <n v="731.93"/>
    <n v="490.28199999999998"/>
    <n v="6598.86"/>
    <n v="7089.1419999999998"/>
    <n v="7690.6140000000005"/>
  </r>
  <r>
    <x v="47"/>
    <x v="3"/>
    <s v="Rural"/>
    <n v="5665"/>
    <n v="138"/>
    <n v="837"/>
    <n v="167"/>
    <n v="3443"/>
    <n v="1080"/>
    <n v="4447"/>
    <n v="8.3000000000000004E-2"/>
    <n v="0.184"/>
    <n v="0.158"/>
    <n v="11.454000000000001"/>
    <n v="69.471000000000004"/>
    <n v="30.727999999999998"/>
    <n v="633.51199999999994"/>
    <n v="664.2399999999999"/>
    <n v="702.62599999999998"/>
  </r>
  <r>
    <x v="48"/>
    <x v="5"/>
    <s v="Urban"/>
    <n v="176191"/>
    <n v="5803"/>
    <n v="33617"/>
    <n v="7081"/>
    <n v="102581"/>
    <n v="27109"/>
    <n v="143279"/>
    <n v="4.7E-2"/>
    <n v="0.14599999999999999"/>
    <n v="0.11800000000000001"/>
    <n v="272.74099999999999"/>
    <n v="1579.999"/>
    <n v="1033.826"/>
    <n v="14976.825999999999"/>
    <n v="16010.651999999998"/>
    <n v="16906.922000000002"/>
  </r>
  <r>
    <x v="49"/>
    <x v="1"/>
    <s v="Rural"/>
    <n v="42221"/>
    <n v="1191"/>
    <n v="6177"/>
    <n v="3971"/>
    <n v="22791"/>
    <n v="8091"/>
    <n v="32939"/>
    <n v="7.0000000000000007E-2"/>
    <n v="0.215"/>
    <n v="0.18100000000000002"/>
    <n v="83.37"/>
    <n v="432.39000000000004"/>
    <n v="853.76499999999999"/>
    <n v="4900.0649999999996"/>
    <n v="5753.83"/>
    <n v="5961.9590000000007"/>
  </r>
  <r>
    <x v="50"/>
    <x v="6"/>
    <s v="Urban"/>
    <n v="193035"/>
    <n v="7177"/>
    <n v="41558"/>
    <n v="7706"/>
    <n v="111469"/>
    <n v="25125"/>
    <n v="160733"/>
    <n v="4.7E-2"/>
    <n v="0.17699999999999999"/>
    <n v="0.13699999999999998"/>
    <n v="337.31900000000002"/>
    <n v="1953.2260000000001"/>
    <n v="1363.962"/>
    <n v="19730.012999999999"/>
    <n v="21093.974999999999"/>
    <n v="22020.420999999998"/>
  </r>
  <r>
    <x v="51"/>
    <x v="3"/>
    <s v="Urban"/>
    <n v="10426"/>
    <n v="326"/>
    <n v="1749"/>
    <n v="323"/>
    <n v="5923"/>
    <n v="2105"/>
    <n v="7995"/>
    <n v="6.8000000000000005E-2"/>
    <n v="0.17300000000000001"/>
    <n v="0.14699999999999999"/>
    <n v="22.168000000000003"/>
    <n v="118.932"/>
    <n v="55.879000000000005"/>
    <n v="1024.6790000000001"/>
    <n v="1080.558"/>
    <n v="1175.2649999999999"/>
  </r>
  <r>
    <x v="52"/>
    <x v="2"/>
    <s v="Rural"/>
    <n v="58907"/>
    <n v="2326"/>
    <n v="12418"/>
    <n v="2356"/>
    <n v="32426"/>
    <n v="9381"/>
    <n v="47200"/>
    <n v="6.3E-2"/>
    <n v="0.19800000000000001"/>
    <n v="0.158"/>
    <n v="146.53800000000001"/>
    <n v="782.33400000000006"/>
    <n v="466.488"/>
    <n v="6420.348"/>
    <n v="6886.8360000000002"/>
    <n v="7457.6"/>
  </r>
  <r>
    <x v="53"/>
    <x v="4"/>
    <s v="Rural"/>
    <n v="58209"/>
    <n v="2021"/>
    <n v="10934"/>
    <n v="2177"/>
    <n v="32075"/>
    <n v="11002"/>
    <n v="45186"/>
    <n v="4.4000000000000004E-2"/>
    <n v="0.187"/>
    <n v="0.14800000000000002"/>
    <n v="88.924000000000007"/>
    <n v="481.09600000000006"/>
    <n v="407.09899999999999"/>
    <n v="5998.0249999999996"/>
    <n v="6405.1239999999998"/>
    <n v="6687.5280000000012"/>
  </r>
  <r>
    <x v="54"/>
    <x v="5"/>
    <s v="Urban"/>
    <n v="83554"/>
    <n v="2463"/>
    <n v="14871"/>
    <n v="3004"/>
    <n v="48947"/>
    <n v="14269"/>
    <n v="66822"/>
    <n v="4.5999999999999999E-2"/>
    <n v="0.16800000000000001"/>
    <n v="0.13600000000000001"/>
    <n v="113.298"/>
    <n v="684.06600000000003"/>
    <n v="504.67200000000003"/>
    <n v="8223.0960000000014"/>
    <n v="8727.7680000000018"/>
    <n v="9087.7920000000013"/>
  </r>
  <r>
    <x v="55"/>
    <x v="1"/>
    <s v="Rural"/>
    <n v="35411"/>
    <n v="1092"/>
    <n v="5488"/>
    <n v="1205"/>
    <n v="17661"/>
    <n v="9965"/>
    <n v="24354"/>
    <n v="7.9000000000000001E-2"/>
    <n v="0.21199999999999999"/>
    <n v="0.17699999999999999"/>
    <n v="86.268000000000001"/>
    <n v="433.55200000000002"/>
    <n v="255.45999999999998"/>
    <n v="3744.1320000000001"/>
    <n v="3999.5920000000001"/>
    <n v="4310.6579999999994"/>
  </r>
  <r>
    <x v="56"/>
    <x v="1"/>
    <s v="Urban"/>
    <n v="21971"/>
    <n v="631"/>
    <n v="3347"/>
    <n v="1252"/>
    <n v="11935"/>
    <n v="4806"/>
    <n v="16534"/>
    <n v="4.8000000000000001E-2"/>
    <n v="0.14699999999999999"/>
    <n v="0.12300000000000001"/>
    <n v="30.288"/>
    <n v="160.65600000000001"/>
    <n v="184.04399999999998"/>
    <n v="1754.4449999999999"/>
    <n v="1938.489"/>
    <n v="2033.6820000000002"/>
  </r>
  <r>
    <x v="57"/>
    <x v="3"/>
    <s v="Rural"/>
    <n v="23555"/>
    <n v="808"/>
    <n v="4074"/>
    <n v="725"/>
    <n v="12869"/>
    <n v="5079"/>
    <n v="17668"/>
    <n v="4.7E-2"/>
    <n v="0.15"/>
    <n v="0.12300000000000001"/>
    <n v="37.975999999999999"/>
    <n v="191.47800000000001"/>
    <n v="108.75"/>
    <n v="1930.35"/>
    <n v="2039.1"/>
    <n v="2173.1640000000002"/>
  </r>
  <r>
    <x v="58"/>
    <x v="1"/>
    <s v="Rural"/>
    <n v="45623"/>
    <n v="1392"/>
    <n v="7808"/>
    <n v="1592"/>
    <n v="25702"/>
    <n v="9129"/>
    <n v="35102"/>
    <n v="4.4000000000000004E-2"/>
    <n v="0.155"/>
    <n v="0.126"/>
    <n v="61.248000000000005"/>
    <n v="343.55200000000002"/>
    <n v="246.76"/>
    <n v="3983.81"/>
    <n v="4230.57"/>
    <n v="4422.8519999999999"/>
  </r>
  <r>
    <x v="59"/>
    <x v="0"/>
    <s v="Urban"/>
    <n v="1077874"/>
    <n v="44533"/>
    <n v="214445"/>
    <n v="37880"/>
    <n v="663223"/>
    <n v="117793"/>
    <n v="915548"/>
    <n v="4.2999999999999997E-2"/>
    <n v="0.16200000000000001"/>
    <n v="0.129"/>
    <n v="1914.9189999999999"/>
    <n v="9221.1349999999984"/>
    <n v="6136.56"/>
    <n v="107442.126"/>
    <n v="113578.686"/>
    <n v="118105.69200000001"/>
  </r>
  <r>
    <x v="60"/>
    <x v="1"/>
    <s v="Rural"/>
    <n v="15314"/>
    <n v="470"/>
    <n v="2340"/>
    <n v="376"/>
    <n v="8476"/>
    <n v="3652"/>
    <n v="11192"/>
    <n v="5.4000000000000006E-2"/>
    <n v="0.17399999999999999"/>
    <n v="0.14499999999999999"/>
    <n v="25.380000000000003"/>
    <n v="126.36000000000001"/>
    <n v="65.423999999999992"/>
    <n v="1474.8239999999998"/>
    <n v="1540.2479999999998"/>
    <n v="1622.84"/>
  </r>
  <r>
    <x v="61"/>
    <x v="2"/>
    <s v="Rural"/>
    <n v="27962"/>
    <n v="959"/>
    <n v="5246"/>
    <n v="1108"/>
    <n v="15085"/>
    <n v="5564"/>
    <n v="21439"/>
    <n v="6.0999999999999999E-2"/>
    <n v="0.215"/>
    <n v="0.17"/>
    <n v="58.498999999999995"/>
    <n v="320.00599999999997"/>
    <n v="238.22"/>
    <n v="3243.2750000000001"/>
    <n v="3481.4949999999999"/>
    <n v="3644.63"/>
  </r>
  <r>
    <x v="62"/>
    <x v="2"/>
    <s v="Rural"/>
    <n v="97081"/>
    <n v="3223"/>
    <n v="16836"/>
    <n v="3232"/>
    <n v="48677"/>
    <n v="25113"/>
    <n v="68745"/>
    <n v="5.5E-2"/>
    <n v="0.152"/>
    <n v="0.125"/>
    <n v="177.26500000000001"/>
    <n v="925.98"/>
    <n v="491.26400000000001"/>
    <n v="7398.9039999999995"/>
    <n v="7890.1679999999997"/>
    <n v="8593.125"/>
  </r>
  <r>
    <x v="63"/>
    <x v="3"/>
    <s v="Urban"/>
    <n v="94188"/>
    <n v="3205"/>
    <n v="17111"/>
    <n v="3502"/>
    <n v="53414"/>
    <n v="16956"/>
    <n v="74027"/>
    <n v="4.2000000000000003E-2"/>
    <n v="0.156"/>
    <n v="0.124"/>
    <n v="134.61000000000001"/>
    <n v="718.66200000000003"/>
    <n v="546.31200000000001"/>
    <n v="8332.5840000000007"/>
    <n v="8878.8960000000006"/>
    <n v="9179.348"/>
  </r>
  <r>
    <x v="64"/>
    <x v="3"/>
    <s v="Urban"/>
    <n v="226069"/>
    <n v="6982"/>
    <n v="35794"/>
    <n v="11801"/>
    <n v="133471"/>
    <n v="38021"/>
    <n v="181066"/>
    <n v="0.04"/>
    <n v="0.15"/>
    <n v="0.124"/>
    <n v="279.28000000000003"/>
    <n v="1431.76"/>
    <n v="1770.1499999999999"/>
    <n v="20020.649999999998"/>
    <n v="21790.799999999999"/>
    <n v="22452.184000000001"/>
  </r>
  <r>
    <x v="65"/>
    <x v="3"/>
    <s v="Rural"/>
    <n v="20998"/>
    <n v="591"/>
    <n v="3342"/>
    <n v="535"/>
    <n v="11694"/>
    <n v="4836"/>
    <n v="15571"/>
    <n v="4.4000000000000004E-2"/>
    <n v="0.154"/>
    <n v="0.127"/>
    <n v="26.004000000000001"/>
    <n v="147.048"/>
    <n v="82.39"/>
    <n v="1800.876"/>
    <n v="1883.2660000000001"/>
    <n v="1977.5170000000001"/>
  </r>
  <r>
    <x v="66"/>
    <x v="3"/>
    <s v="Urban"/>
    <n v="199025"/>
    <n v="12240"/>
    <n v="46406"/>
    <n v="14805"/>
    <n v="107470"/>
    <n v="18104"/>
    <n v="168681"/>
    <n v="0.03"/>
    <n v="0.127"/>
    <n v="9.8000000000000004E-2"/>
    <n v="367.2"/>
    <n v="1392.1799999999998"/>
    <n v="1880.2350000000001"/>
    <n v="13648.69"/>
    <n v="15528.925000000001"/>
    <n v="16530.738000000001"/>
  </r>
  <r>
    <x v="67"/>
    <x v="0"/>
    <s v="Urban"/>
    <n v="143264"/>
    <n v="3728"/>
    <n v="23024"/>
    <n v="12252"/>
    <n v="85022"/>
    <n v="19238"/>
    <n v="120298"/>
    <n v="4.9000000000000002E-2"/>
    <n v="0.12300000000000001"/>
    <n v="0.10400000000000001"/>
    <n v="182.672"/>
    <n v="1128.1759999999999"/>
    <n v="1506.9960000000001"/>
    <n v="10457.706"/>
    <n v="11964.702000000001"/>
    <n v="12510.992"/>
  </r>
  <r>
    <x v="68"/>
    <x v="3"/>
    <s v="Urban"/>
    <n v="13184"/>
    <n v="304"/>
    <n v="1774"/>
    <n v="337"/>
    <n v="7065"/>
    <n v="3704"/>
    <n v="9176"/>
    <n v="7.5999999999999998E-2"/>
    <n v="0.151"/>
    <n v="0.13200000000000001"/>
    <n v="23.103999999999999"/>
    <n v="134.82399999999998"/>
    <n v="50.887"/>
    <n v="1066.8150000000001"/>
    <n v="1117.702"/>
    <n v="1211.232"/>
  </r>
  <r>
    <x v="69"/>
    <x v="3"/>
    <s v="Rural"/>
    <n v="40112"/>
    <n v="1498"/>
    <n v="7712"/>
    <n v="2282"/>
    <n v="22474"/>
    <n v="6146"/>
    <n v="32468"/>
    <n v="4.4000000000000004E-2"/>
    <n v="0.14899999999999999"/>
    <n v="0.11900000000000001"/>
    <n v="65.912000000000006"/>
    <n v="339.32800000000003"/>
    <n v="340.01799999999997"/>
    <n v="3348.6259999999997"/>
    <n v="3688.6439999999998"/>
    <n v="3863.6920000000005"/>
  </r>
  <r>
    <x v="70"/>
    <x v="3"/>
    <s v="Urban"/>
    <n v="60408"/>
    <n v="1926"/>
    <n v="10609"/>
    <n v="2307"/>
    <n v="34797"/>
    <n v="10769"/>
    <n v="47713"/>
    <n v="5.5999999999999994E-2"/>
    <n v="0.17800000000000002"/>
    <n v="0.14400000000000002"/>
    <n v="107.85599999999999"/>
    <n v="594.10399999999993"/>
    <n v="410.64600000000007"/>
    <n v="6193.8660000000009"/>
    <n v="6604.5120000000006"/>
    <n v="6870.6720000000005"/>
  </r>
  <r>
    <x v="71"/>
    <x v="3"/>
    <s v="Rural"/>
    <n v="13779"/>
    <n v="390"/>
    <n v="2204"/>
    <n v="412"/>
    <n v="7143"/>
    <n v="3630"/>
    <n v="9759"/>
    <n v="5.5999999999999994E-2"/>
    <n v="0.14899999999999999"/>
    <n v="0.124"/>
    <n v="21.839999999999996"/>
    <n v="123.42399999999999"/>
    <n v="61.387999999999998"/>
    <n v="1064.307"/>
    <n v="1125.6949999999999"/>
    <n v="1210.116"/>
  </r>
  <r>
    <x v="72"/>
    <x v="0"/>
    <s v="Urban"/>
    <n v="39845"/>
    <n v="1337"/>
    <n v="7106"/>
    <n v="1236"/>
    <n v="22724"/>
    <n v="7442"/>
    <n v="31066"/>
    <n v="4.2999999999999997E-2"/>
    <n v="0.14400000000000002"/>
    <n v="0.11699999999999999"/>
    <n v="57.490999999999993"/>
    <n v="305.55799999999999"/>
    <n v="177.98400000000001"/>
    <n v="3272.2560000000003"/>
    <n v="3450.2400000000002"/>
    <n v="3634.7219999999998"/>
  </r>
  <r>
    <x v="73"/>
    <x v="3"/>
    <s v="Urban"/>
    <n v="177093"/>
    <n v="6390"/>
    <n v="32558"/>
    <n v="14922"/>
    <n v="101087"/>
    <n v="22136"/>
    <n v="148567"/>
    <n v="0.04"/>
    <n v="0.154"/>
    <n v="0.125"/>
    <n v="255.6"/>
    <n v="1302.32"/>
    <n v="2297.9879999999998"/>
    <n v="15567.397999999999"/>
    <n v="17865.385999999999"/>
    <n v="18570.875"/>
  </r>
  <r>
    <x v="74"/>
    <x v="1"/>
    <s v="Rural"/>
    <n v="21020"/>
    <n v="481"/>
    <n v="2971"/>
    <n v="586"/>
    <n v="10908"/>
    <n v="6074"/>
    <n v="14465"/>
    <n v="7.2000000000000008E-2"/>
    <n v="0.157"/>
    <n v="0.13600000000000001"/>
    <n v="34.632000000000005"/>
    <n v="213.91200000000003"/>
    <n v="92.001999999999995"/>
    <n v="1712.556"/>
    <n v="1804.558"/>
    <n v="1967.2400000000002"/>
  </r>
  <r>
    <x v="75"/>
    <x v="2"/>
    <s v="Urban"/>
    <n v="143239"/>
    <n v="4771"/>
    <n v="27121"/>
    <n v="5936"/>
    <n v="81011"/>
    <n v="24400"/>
    <n v="114068"/>
    <n v="5.9000000000000004E-2"/>
    <n v="0.2"/>
    <n v="0.161"/>
    <n v="281.48900000000003"/>
    <n v="1600.1390000000001"/>
    <n v="1187.2"/>
    <n v="16202.2"/>
    <n v="17389.400000000001"/>
    <n v="18364.948"/>
  </r>
  <r>
    <x v="76"/>
    <x v="2"/>
    <s v="Rural"/>
    <n v="45240"/>
    <n v="1604"/>
    <n v="8748"/>
    <n v="2157"/>
    <n v="24896"/>
    <n v="7835"/>
    <n v="35801"/>
    <n v="4.7E-2"/>
    <n v="0.19399999999999998"/>
    <n v="0.152"/>
    <n v="75.388000000000005"/>
    <n v="411.15600000000001"/>
    <n v="418.45799999999997"/>
    <n v="4829.8239999999996"/>
    <n v="5248.2819999999992"/>
    <n v="5441.7519999999995"/>
  </r>
  <r>
    <x v="77"/>
    <x v="4"/>
    <s v="Rural"/>
    <n v="132859"/>
    <n v="5236"/>
    <n v="27334"/>
    <n v="7825"/>
    <n v="73311"/>
    <n v="19153"/>
    <n v="108470"/>
    <n v="5.2000000000000005E-2"/>
    <n v="0.26"/>
    <n v="0.19600000000000001"/>
    <n v="272.27200000000005"/>
    <n v="1421.3680000000002"/>
    <n v="2034.5"/>
    <n v="19060.86"/>
    <n v="21095.360000000001"/>
    <n v="21260.120000000003"/>
  </r>
  <r>
    <x v="78"/>
    <x v="0"/>
    <s v="Urban"/>
    <n v="91876"/>
    <n v="2914"/>
    <n v="15898"/>
    <n v="3171"/>
    <n v="52101"/>
    <n v="17792"/>
    <n v="71170"/>
    <n v="4.7E-2"/>
    <n v="0.16200000000000001"/>
    <n v="0.13200000000000001"/>
    <n v="136.958"/>
    <n v="747.20600000000002"/>
    <n v="513.702"/>
    <n v="8440.362000000001"/>
    <n v="8954.0640000000003"/>
    <n v="9394.44"/>
  </r>
  <r>
    <x v="79"/>
    <x v="0"/>
    <s v="Urban"/>
    <n v="141806"/>
    <n v="4718"/>
    <n v="27013"/>
    <n v="5721"/>
    <n v="80489"/>
    <n v="23865"/>
    <n v="113223"/>
    <n v="4.5999999999999999E-2"/>
    <n v="0.17399999999999999"/>
    <n v="0.13900000000000001"/>
    <n v="217.02799999999999"/>
    <n v="1242.598"/>
    <n v="995.45399999999995"/>
    <n v="14005.085999999999"/>
    <n v="15000.539999999999"/>
    <n v="15737.997000000001"/>
  </r>
  <r>
    <x v="80"/>
    <x v="1"/>
    <s v="Rural"/>
    <n v="67735"/>
    <n v="2186"/>
    <n v="11873"/>
    <n v="2339"/>
    <n v="37478"/>
    <n v="13859"/>
    <n v="51690"/>
    <n v="3.9E-2"/>
    <n v="0.16600000000000001"/>
    <n v="0.13200000000000001"/>
    <n v="85.254000000000005"/>
    <n v="463.04700000000003"/>
    <n v="388.274"/>
    <n v="6221.348"/>
    <n v="6609.6220000000003"/>
    <n v="6823.08"/>
  </r>
  <r>
    <x v="81"/>
    <x v="4"/>
    <s v="Rural"/>
    <n v="63994"/>
    <n v="2466"/>
    <n v="13227"/>
    <n v="2654"/>
    <n v="34779"/>
    <n v="10868"/>
    <n v="50660"/>
    <n v="7.2999999999999995E-2"/>
    <n v="0.23699999999999999"/>
    <n v="0.188"/>
    <n v="180.018"/>
    <n v="965.57099999999991"/>
    <n v="628.99799999999993"/>
    <n v="8242.6229999999996"/>
    <n v="8871.6209999999992"/>
    <n v="9524.08"/>
  </r>
  <r>
    <x v="82"/>
    <x v="4"/>
    <s v="Rural"/>
    <n v="35462"/>
    <n v="1370"/>
    <n v="6945"/>
    <n v="1375"/>
    <n v="19531"/>
    <n v="6241"/>
    <n v="27851"/>
    <n v="5.0999999999999997E-2"/>
    <n v="0.188"/>
    <n v="0.14699999999999999"/>
    <n v="69.86999999999999"/>
    <n v="354.19499999999999"/>
    <n v="258.5"/>
    <n v="3671.828"/>
    <n v="3930.328"/>
    <n v="4094.0969999999998"/>
  </r>
  <r>
    <x v="83"/>
    <x v="0"/>
    <s v="Rural"/>
    <n v="61670"/>
    <n v="2048"/>
    <n v="10973"/>
    <n v="2330"/>
    <n v="34926"/>
    <n v="11393"/>
    <n v="48229"/>
    <n v="4.7E-2"/>
    <n v="0.158"/>
    <n v="0.128"/>
    <n v="96.256"/>
    <n v="515.73099999999999"/>
    <n v="368.14"/>
    <n v="5518.308"/>
    <n v="5886.4480000000003"/>
    <n v="6173.3119999999999"/>
  </r>
  <r>
    <x v="84"/>
    <x v="0"/>
    <s v="Urban"/>
    <n v="46708"/>
    <n v="1322"/>
    <n v="7444"/>
    <n v="1500"/>
    <n v="27275"/>
    <n v="9167"/>
    <n v="36219"/>
    <n v="4.5999999999999999E-2"/>
    <n v="0.16200000000000001"/>
    <n v="0.13"/>
    <n v="60.811999999999998"/>
    <n v="342.42399999999998"/>
    <n v="243"/>
    <n v="4418.55"/>
    <n v="4661.55"/>
    <n v="4708.47"/>
  </r>
  <r>
    <x v="85"/>
    <x v="5"/>
    <s v="Rural"/>
    <n v="73196"/>
    <n v="2280"/>
    <n v="13088"/>
    <n v="3116"/>
    <n v="40594"/>
    <n v="14118"/>
    <n v="56798"/>
    <n v="4.4999999999999998E-2"/>
    <n v="0.155"/>
    <n v="0.128"/>
    <n v="102.6"/>
    <n v="588.95999999999992"/>
    <n v="482.98"/>
    <n v="6292.07"/>
    <n v="6775.0499999999993"/>
    <n v="7270.1440000000002"/>
  </r>
  <r>
    <x v="86"/>
    <x v="1"/>
    <s v="Rural"/>
    <n v="15256"/>
    <n v="671"/>
    <n v="2928"/>
    <n v="502"/>
    <n v="8247"/>
    <n v="2908"/>
    <n v="11677"/>
    <n v="6.0999999999999999E-2"/>
    <n v="0.19600000000000001"/>
    <n v="0.159"/>
    <n v="40.930999999999997"/>
    <n v="178.608"/>
    <n v="98.39200000000001"/>
    <n v="1616.412"/>
    <n v="1714.8040000000001"/>
    <n v="1856.643"/>
  </r>
  <r>
    <x v="87"/>
    <x v="1"/>
    <s v="Rural"/>
    <n v="34369"/>
    <n v="914"/>
    <n v="4767"/>
    <n v="1329"/>
    <n v="16853"/>
    <n v="10506"/>
    <n v="22949"/>
    <n v="7.2000000000000008E-2"/>
    <n v="0.221"/>
    <n v="0.18"/>
    <n v="65.808000000000007"/>
    <n v="343.22400000000005"/>
    <n v="293.709"/>
    <n v="3724.5129999999999"/>
    <n v="4018.2219999999998"/>
    <n v="4130.82"/>
  </r>
  <r>
    <x v="88"/>
    <x v="3"/>
    <s v="Rural"/>
    <n v="4215"/>
    <n v="126"/>
    <n v="653"/>
    <n v="112"/>
    <n v="2503"/>
    <n v="821"/>
    <n v="3268"/>
    <n v="5.5999999999999994E-2"/>
    <n v="0.16300000000000001"/>
    <n v="0.13699999999999998"/>
    <n v="7.0559999999999992"/>
    <n v="36.567999999999998"/>
    <n v="18.256"/>
    <n v="407.98900000000003"/>
    <n v="426.245"/>
    <n v="447.71599999999995"/>
  </r>
  <r>
    <x v="89"/>
    <x v="0"/>
    <s v="Urban"/>
    <n v="228065"/>
    <n v="8052"/>
    <n v="50409"/>
    <n v="10373"/>
    <n v="131014"/>
    <n v="28217"/>
    <n v="191796"/>
    <n v="8.6999999999999994E-2"/>
    <n v="0.23100000000000001"/>
    <n v="0.192"/>
    <n v="700.524"/>
    <n v="4385.5829999999996"/>
    <n v="2396.163"/>
    <n v="30264.234"/>
    <n v="32660.397000000001"/>
    <n v="36824.832000000002"/>
  </r>
  <r>
    <x v="90"/>
    <x v="0"/>
    <s v="Rural"/>
    <n v="45127"/>
    <n v="1700"/>
    <n v="9013"/>
    <n v="1746"/>
    <n v="24832"/>
    <n v="7836"/>
    <n v="35591"/>
    <n v="4.9000000000000002E-2"/>
    <n v="0.14499999999999999"/>
    <n v="0.113"/>
    <n v="83.3"/>
    <n v="441.637"/>
    <n v="253.17"/>
    <n v="3600.64"/>
    <n v="3853.81"/>
    <n v="4021.7829999999999"/>
  </r>
  <r>
    <x v="91"/>
    <x v="6"/>
    <s v="Urban"/>
    <n v="1052122"/>
    <n v="38817"/>
    <n v="214991"/>
    <n v="43308"/>
    <n v="637968"/>
    <n v="117038"/>
    <n v="896267"/>
    <n v="4.2000000000000003E-2"/>
    <n v="0.17600000000000002"/>
    <n v="0.13699999999999998"/>
    <n v="1630.3140000000001"/>
    <n v="9029.6220000000012"/>
    <n v="7622.2080000000005"/>
    <n v="112282.36800000002"/>
    <n v="119904.57600000002"/>
    <n v="122788.57899999998"/>
  </r>
  <r>
    <x v="92"/>
    <x v="0"/>
    <s v="Rural"/>
    <n v="20473"/>
    <n v="601"/>
    <n v="3223"/>
    <n v="568"/>
    <n v="11308"/>
    <n v="4773"/>
    <n v="15099"/>
    <n v="3.7999999999999999E-2"/>
    <n v="0.122"/>
    <n v="9.6999999999999989E-2"/>
    <n v="22.838000000000001"/>
    <n v="122.474"/>
    <n v="69.295999999999992"/>
    <n v="1379.576"/>
    <n v="1448.8720000000001"/>
    <n v="1464.6029999999998"/>
  </r>
  <r>
    <x v="93"/>
    <x v="3"/>
    <s v="Rural"/>
    <n v="12429"/>
    <n v="412"/>
    <n v="2293"/>
    <n v="328"/>
    <n v="6559"/>
    <n v="2837"/>
    <n v="9180"/>
    <n v="6.7000000000000004E-2"/>
    <n v="0.20199999999999999"/>
    <n v="0.16800000000000001"/>
    <n v="27.604000000000003"/>
    <n v="153.631"/>
    <n v="66.256"/>
    <n v="1324.9179999999999"/>
    <n v="1391.174"/>
    <n v="1542.24"/>
  </r>
  <r>
    <x v="94"/>
    <x v="1"/>
    <s v="Rural"/>
    <n v="54940"/>
    <n v="1116"/>
    <n v="5939"/>
    <n v="8587"/>
    <n v="30564"/>
    <n v="8734"/>
    <n v="45090"/>
    <n v="4.7E-2"/>
    <n v="0.17100000000000001"/>
    <n v="0.13800000000000001"/>
    <n v="52.451999999999998"/>
    <n v="279.13299999999998"/>
    <n v="1468.3770000000002"/>
    <n v="5226.4440000000004"/>
    <n v="6694.8210000000008"/>
    <n v="6222.42"/>
  </r>
  <r>
    <x v="95"/>
    <x v="4"/>
    <s v="Urban"/>
    <n v="125146"/>
    <n v="5012"/>
    <n v="25676"/>
    <n v="5057"/>
    <n v="69841"/>
    <n v="19560"/>
    <n v="100574"/>
    <n v="4.9000000000000002E-2"/>
    <n v="0.15"/>
    <n v="0.13200000000000001"/>
    <n v="245.58800000000002"/>
    <n v="1258.124"/>
    <n v="758.55"/>
    <n v="10476.15"/>
    <n v="11234.699999999999"/>
    <n v="13275.768"/>
  </r>
  <r>
    <x v="96"/>
    <x v="1"/>
    <s v="Rural"/>
    <n v="69664"/>
    <n v="2162"/>
    <n v="12043"/>
    <n v="2431"/>
    <n v="38663"/>
    <n v="14365"/>
    <n v="53137"/>
    <n v="5.0999999999999997E-2"/>
    <n v="0.17300000000000001"/>
    <n v="0.13800000000000001"/>
    <n v="110.26199999999999"/>
    <n v="614.19299999999998"/>
    <n v="420.56300000000005"/>
    <n v="6688.6990000000005"/>
    <n v="7109.2620000000006"/>
    <n v="7332.9060000000009"/>
  </r>
  <r>
    <x v="97"/>
    <x v="4"/>
    <s v="Rural"/>
    <n v="82686"/>
    <n v="2938"/>
    <n v="16061"/>
    <n v="3126"/>
    <n v="46320"/>
    <n v="14241"/>
    <n v="65507"/>
    <n v="5.5999999999999994E-2"/>
    <n v="0.19600000000000001"/>
    <n v="0.159"/>
    <n v="164.52799999999999"/>
    <n v="899.41599999999994"/>
    <n v="612.69600000000003"/>
    <n v="9078.7200000000012"/>
    <n v="9691.4160000000011"/>
    <n v="10415.612999999999"/>
  </r>
  <r>
    <x v="98"/>
    <x v="5"/>
    <s v="Urban"/>
    <n v="37376"/>
    <n v="1175"/>
    <n v="6632"/>
    <n v="1413"/>
    <n v="21024"/>
    <n v="7132"/>
    <n v="29069"/>
    <n v="5.7000000000000002E-2"/>
    <n v="0.187"/>
    <n v="0.15"/>
    <n v="66.975000000000009"/>
    <n v="378.024"/>
    <n v="264.23099999999999"/>
    <n v="3931.4879999999998"/>
    <n v="4195.7190000000001"/>
    <n v="4360.3499999999995"/>
  </r>
  <r>
    <x v="99"/>
    <x v="1"/>
    <s v="Rural"/>
    <n v="17999"/>
    <n v="556"/>
    <n v="2800"/>
    <n v="514"/>
    <n v="9756"/>
    <n v="4373"/>
    <n v="13070"/>
    <n v="5.5999999999999994E-2"/>
    <n v="0.17899999999999999"/>
    <n v="0.14599999999999999"/>
    <n v="31.135999999999996"/>
    <n v="156.79999999999998"/>
    <n v="92.006"/>
    <n v="1746.3239999999998"/>
    <n v="1838.33"/>
    <n v="1908.2199999999998"/>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74055"/>
    <n v="6010"/>
    <n v="31342"/>
    <n v="8804"/>
    <n v="96862"/>
    <n v="31037"/>
    <n v="137008"/>
    <n v="0.06"/>
    <n v="0.16800000000000001"/>
    <n v="0.13800000000000001"/>
    <n v="360.59999999999997"/>
    <n v="1880.52"/>
    <n v="1479.0720000000001"/>
    <n v="16272.816000000001"/>
    <n v="17751.887999999999"/>
    <n v="18907.104000000003"/>
  </r>
  <r>
    <x v="1"/>
    <x v="1"/>
    <s v="Urban"/>
    <n v="38755"/>
    <n v="1114"/>
    <n v="6416"/>
    <n v="1326"/>
    <n v="21894"/>
    <n v="8005"/>
    <n v="29636"/>
    <n v="0.06"/>
    <n v="0.152"/>
    <n v="0.128"/>
    <n v="66.84"/>
    <n v="384.96"/>
    <n v="201.55199999999999"/>
    <n v="3327.8879999999999"/>
    <n v="3529.44"/>
    <n v="3793.4079999999999"/>
  </r>
  <r>
    <x v="2"/>
    <x v="1"/>
    <s v="Rural"/>
    <n v="11510"/>
    <n v="304"/>
    <n v="1633"/>
    <n v="385"/>
    <n v="6189"/>
    <n v="2999"/>
    <n v="8207"/>
    <n v="8.5999999999999993E-2"/>
    <n v="0.20699999999999999"/>
    <n v="0.17800000000000002"/>
    <n v="26.143999999999998"/>
    <n v="140.43799999999999"/>
    <n v="79.694999999999993"/>
    <n v="1281.123"/>
    <n v="1360.818"/>
    <n v="1460.8460000000002"/>
  </r>
  <r>
    <x v="3"/>
    <x v="2"/>
    <s v="Urban"/>
    <n v="25289"/>
    <n v="760"/>
    <n v="4232"/>
    <n v="971"/>
    <n v="14712"/>
    <n v="4614"/>
    <n v="19915"/>
    <n v="4.7E-2"/>
    <n v="0.16600000000000001"/>
    <n v="0.13400000000000001"/>
    <n v="35.72"/>
    <n v="198.904"/>
    <n v="161.18600000000001"/>
    <n v="2442.192"/>
    <n v="2603.3780000000002"/>
    <n v="2668.61"/>
  </r>
  <r>
    <x v="4"/>
    <x v="1"/>
    <s v="Rural"/>
    <n v="28150"/>
    <n v="672"/>
    <n v="4227"/>
    <n v="875"/>
    <n v="15062"/>
    <n v="7314"/>
    <n v="20164"/>
    <n v="6.5000000000000002E-2"/>
    <n v="0.182"/>
    <n v="0.154"/>
    <n v="43.68"/>
    <n v="274.755"/>
    <n v="159.25"/>
    <n v="2741.2840000000001"/>
    <n v="2900.5340000000001"/>
    <n v="3105.2559999999999"/>
  </r>
  <r>
    <x v="5"/>
    <x v="1"/>
    <s v="Rural"/>
    <n v="18035"/>
    <n v="433"/>
    <n v="2254"/>
    <n v="612"/>
    <n v="10679"/>
    <n v="4057"/>
    <n v="13545"/>
    <n v="7.8E-2"/>
    <n v="0.21100000000000002"/>
    <n v="0.18100000000000002"/>
    <n v="33.774000000000001"/>
    <n v="175.81200000000001"/>
    <n v="129.13200000000001"/>
    <n v="2253.2690000000002"/>
    <n v="2382.4010000000003"/>
    <n v="2451.6450000000004"/>
  </r>
  <r>
    <x v="6"/>
    <x v="3"/>
    <s v="Rural"/>
    <n v="47490"/>
    <n v="1348"/>
    <n v="7843"/>
    <n v="1761"/>
    <n v="24454"/>
    <n v="12084"/>
    <n v="34058"/>
    <n v="5.7999999999999996E-2"/>
    <n v="0.157"/>
    <n v="0.13100000000000001"/>
    <n v="78.183999999999997"/>
    <n v="454.89399999999995"/>
    <n v="276.47699999999998"/>
    <n v="3839.2779999999998"/>
    <n v="4115.7550000000001"/>
    <n v="4461.598"/>
  </r>
  <r>
    <x v="7"/>
    <x v="3"/>
    <s v="Rural"/>
    <n v="19601"/>
    <n v="563"/>
    <n v="3094"/>
    <n v="721"/>
    <n v="11123"/>
    <n v="4100"/>
    <n v="14938"/>
    <n v="4.7E-2"/>
    <n v="0.152"/>
    <n v="0.126"/>
    <n v="26.460999999999999"/>
    <n v="145.41800000000001"/>
    <n v="109.592"/>
    <n v="1690.6959999999999"/>
    <n v="1800.288"/>
    <n v="1882.1880000000001"/>
  </r>
  <r>
    <x v="8"/>
    <x v="4"/>
    <s v="Rural"/>
    <n v="34444"/>
    <n v="1119"/>
    <n v="5910"/>
    <n v="1247"/>
    <n v="18898"/>
    <n v="7270"/>
    <n v="26055"/>
    <n v="6.9000000000000006E-2"/>
    <n v="0.217"/>
    <n v="0.17800000000000002"/>
    <n v="77.211000000000013"/>
    <n v="407.79"/>
    <n v="270.59899999999999"/>
    <n v="4100.866"/>
    <n v="4371.4650000000001"/>
    <n v="4637.7900000000009"/>
  </r>
  <r>
    <x v="9"/>
    <x v="3"/>
    <s v="Urban"/>
    <n v="146135"/>
    <n v="3192"/>
    <n v="19823"/>
    <n v="3856"/>
    <n v="74070"/>
    <n v="45194"/>
    <n v="97749"/>
    <n v="6.6000000000000003E-2"/>
    <n v="0.157"/>
    <n v="0.13699999999999998"/>
    <n v="210.672"/>
    <n v="1308.318"/>
    <n v="605.39200000000005"/>
    <n v="11628.99"/>
    <n v="12234.382"/>
    <n v="13391.612999999998"/>
  </r>
  <r>
    <x v="10"/>
    <x v="1"/>
    <s v="Urban"/>
    <n v="267046"/>
    <n v="7549"/>
    <n v="41932"/>
    <n v="9145"/>
    <n v="153044"/>
    <n v="55376"/>
    <n v="204121"/>
    <n v="5.2000000000000005E-2"/>
    <n v="0.14800000000000002"/>
    <n v="0.125"/>
    <n v="392.54800000000006"/>
    <n v="2180.4640000000004"/>
    <n v="1353.4600000000003"/>
    <n v="22650.512000000002"/>
    <n v="24003.972000000002"/>
    <n v="25515.125"/>
  </r>
  <r>
    <x v="11"/>
    <x v="5"/>
    <s v="Urban"/>
    <n v="91934"/>
    <n v="2736"/>
    <n v="15133"/>
    <n v="4401"/>
    <n v="50519"/>
    <n v="19145"/>
    <n v="70053"/>
    <n v="5.0999999999999997E-2"/>
    <n v="0.16300000000000001"/>
    <n v="0.13600000000000001"/>
    <n v="139.536"/>
    <n v="771.7829999999999"/>
    <n v="717.36300000000006"/>
    <n v="8234.5969999999998"/>
    <n v="8951.9599999999991"/>
    <n v="9527.2080000000005"/>
  </r>
  <r>
    <x v="12"/>
    <x v="0"/>
    <s v="Urban"/>
    <n v="216608"/>
    <n v="8074"/>
    <n v="43500"/>
    <n v="9297"/>
    <n v="125688"/>
    <n v="30049"/>
    <n v="178485"/>
    <n v="4.2999999999999997E-2"/>
    <n v="0.13400000000000001"/>
    <n v="0.106"/>
    <n v="347.18199999999996"/>
    <n v="1870.4999999999998"/>
    <n v="1245.798"/>
    <n v="16842.192000000003"/>
    <n v="18087.990000000002"/>
    <n v="18919.41"/>
  </r>
  <r>
    <x v="13"/>
    <x v="1"/>
    <s v="Urban"/>
    <n v="83703"/>
    <n v="2450"/>
    <n v="13658"/>
    <n v="3312"/>
    <n v="47373"/>
    <n v="16910"/>
    <n v="64343"/>
    <n v="4.5999999999999999E-2"/>
    <n v="0.17800000000000002"/>
    <n v="0.14400000000000002"/>
    <n v="112.7"/>
    <n v="628.26800000000003"/>
    <n v="589.53600000000006"/>
    <n v="8432.3940000000002"/>
    <n v="9021.93"/>
    <n v="9265.3920000000016"/>
  </r>
  <r>
    <x v="14"/>
    <x v="3"/>
    <s v="Urban"/>
    <n v="10717"/>
    <n v="278"/>
    <n v="1786"/>
    <n v="410"/>
    <n v="6408"/>
    <n v="1835"/>
    <n v="8604"/>
    <n v="6.0999999999999999E-2"/>
    <n v="0.14099999999999999"/>
    <n v="0.11900000000000001"/>
    <n v="16.957999999999998"/>
    <n v="108.946"/>
    <n v="57.809999999999995"/>
    <n v="903.52799999999991"/>
    <n v="961.33799999999985"/>
    <n v="1023.8760000000001"/>
  </r>
  <r>
    <x v="15"/>
    <x v="3"/>
    <s v="Rural"/>
    <n v="71640"/>
    <n v="1672"/>
    <n v="10264"/>
    <n v="2230"/>
    <n v="39083"/>
    <n v="18391"/>
    <n v="51577"/>
    <n v="6.0999999999999999E-2"/>
    <n v="0.156"/>
    <n v="0.13300000000000001"/>
    <n v="101.992"/>
    <n v="626.10400000000004"/>
    <n v="347.88"/>
    <n v="6096.9480000000003"/>
    <n v="6444.8280000000004"/>
    <n v="6859.741"/>
  </r>
  <r>
    <x v="16"/>
    <x v="0"/>
    <s v="Rural"/>
    <n v="23666"/>
    <n v="631"/>
    <n v="3507"/>
    <n v="786"/>
    <n v="13559"/>
    <n v="5183"/>
    <n v="17852"/>
    <n v="6.3E-2"/>
    <n v="0.156"/>
    <n v="0.13200000000000001"/>
    <n v="39.753"/>
    <n v="220.941"/>
    <n v="122.616"/>
    <n v="2115.2040000000002"/>
    <n v="2237.8200000000002"/>
    <n v="2356.4639999999999"/>
  </r>
  <r>
    <x v="17"/>
    <x v="5"/>
    <s v="Urban"/>
    <n v="160504"/>
    <n v="5345"/>
    <n v="28974"/>
    <n v="6596"/>
    <n v="90084"/>
    <n v="29505"/>
    <n v="125654"/>
    <n v="6.7000000000000004E-2"/>
    <n v="0.161"/>
    <n v="0.13500000000000001"/>
    <n v="358.11500000000001"/>
    <n v="1941.258"/>
    <n v="1061.9560000000001"/>
    <n v="14503.524000000001"/>
    <n v="15565.480000000001"/>
    <n v="16963.29"/>
  </r>
  <r>
    <x v="18"/>
    <x v="0"/>
    <s v="Urban"/>
    <n v="77713"/>
    <n v="2067"/>
    <n v="11912"/>
    <n v="2427"/>
    <n v="40466"/>
    <n v="20841"/>
    <n v="54805"/>
    <n v="6.8000000000000005E-2"/>
    <n v="0.159"/>
    <n v="0.13400000000000001"/>
    <n v="140.55600000000001"/>
    <n v="810.01600000000008"/>
    <n v="385.89300000000003"/>
    <n v="6434.0940000000001"/>
    <n v="6819.9870000000001"/>
    <n v="7343.8700000000008"/>
  </r>
  <r>
    <x v="19"/>
    <x v="1"/>
    <s v="Rural"/>
    <n v="29972"/>
    <n v="647"/>
    <n v="4247"/>
    <n v="869"/>
    <n v="15067"/>
    <n v="9142"/>
    <n v="20183"/>
    <n v="6.6000000000000003E-2"/>
    <n v="0.17899999999999999"/>
    <n v="0.152"/>
    <n v="42.702000000000005"/>
    <n v="280.30200000000002"/>
    <n v="155.55099999999999"/>
    <n v="2696.9929999999999"/>
    <n v="2852.5439999999999"/>
    <n v="3067.8159999999998"/>
  </r>
  <r>
    <x v="20"/>
    <x v="3"/>
    <s v="Rural"/>
    <n v="14074"/>
    <n v="442"/>
    <n v="2365"/>
    <n v="472"/>
    <n v="7291"/>
    <n v="3504"/>
    <n v="10128"/>
    <n v="5.7999999999999996E-2"/>
    <n v="0.14300000000000002"/>
    <n v="0.12"/>
    <n v="25.635999999999999"/>
    <n v="137.16999999999999"/>
    <n v="67.496000000000009"/>
    <n v="1042.6130000000001"/>
    <n v="1110.1090000000002"/>
    <n v="1215.3599999999999"/>
  </r>
  <r>
    <x v="21"/>
    <x v="1"/>
    <s v="Rural"/>
    <n v="12058"/>
    <n v="317"/>
    <n v="1754"/>
    <n v="363"/>
    <n v="5944"/>
    <n v="3680"/>
    <n v="8061"/>
    <n v="7.9000000000000001E-2"/>
    <n v="0.192"/>
    <n v="0.16300000000000001"/>
    <n v="25.042999999999999"/>
    <n v="138.566"/>
    <n v="69.695999999999998"/>
    <n v="1141.248"/>
    <n v="1210.944"/>
    <n v="1313.943"/>
  </r>
  <r>
    <x v="22"/>
    <x v="5"/>
    <s v="Rural"/>
    <n v="100289"/>
    <n v="3381"/>
    <n v="17654"/>
    <n v="4286"/>
    <n v="55775"/>
    <n v="19193"/>
    <n v="77715"/>
    <n v="5.2000000000000005E-2"/>
    <n v="0.161"/>
    <n v="0.13100000000000001"/>
    <n v="175.81200000000001"/>
    <n v="918.00800000000004"/>
    <n v="690.04600000000005"/>
    <n v="8979.7749999999996"/>
    <n v="9669.8209999999999"/>
    <n v="10180.665000000001"/>
  </r>
  <r>
    <x v="23"/>
    <x v="3"/>
    <s v="Rural"/>
    <n v="56220"/>
    <n v="1723"/>
    <n v="9746"/>
    <n v="2272"/>
    <n v="31458"/>
    <n v="11021"/>
    <n v="43476"/>
    <n v="5.5999999999999994E-2"/>
    <n v="0.19399999999999998"/>
    <n v="0.156"/>
    <n v="96.487999999999985"/>
    <n v="545.77599999999995"/>
    <n v="440.76799999999997"/>
    <n v="6102.851999999999"/>
    <n v="6543.619999999999"/>
    <n v="6782.2560000000003"/>
  </r>
  <r>
    <x v="24"/>
    <x v="3"/>
    <s v="Urban"/>
    <n v="103983"/>
    <n v="4307"/>
    <n v="22474"/>
    <n v="4909"/>
    <n v="54157"/>
    <n v="18136"/>
    <n v="81540"/>
    <n v="5.7999999999999996E-2"/>
    <n v="0.14000000000000001"/>
    <n v="0.11699999999999999"/>
    <n v="249.80599999999998"/>
    <n v="1303.492"/>
    <n v="687.2600000000001"/>
    <n v="7581.9800000000005"/>
    <n v="8269.24"/>
    <n v="9540.18"/>
  </r>
  <r>
    <x v="25"/>
    <x v="6"/>
    <s v="Urban"/>
    <n v="333209"/>
    <n v="15912"/>
    <n v="73569"/>
    <n v="15240"/>
    <n v="183898"/>
    <n v="44590"/>
    <n v="272707"/>
    <n v="3.5000000000000003E-2"/>
    <n v="0.13800000000000001"/>
    <n v="0.107"/>
    <n v="556.92000000000007"/>
    <n v="2574.9150000000004"/>
    <n v="2103.1200000000003"/>
    <n v="25377.924000000003"/>
    <n v="27481.044000000002"/>
    <n v="29179.648999999998"/>
  </r>
  <r>
    <x v="26"/>
    <x v="3"/>
    <s v="Urban"/>
    <n v="27952"/>
    <n v="638"/>
    <n v="4724"/>
    <n v="1027"/>
    <n v="16751"/>
    <n v="4812"/>
    <n v="22502"/>
    <n v="7.2000000000000008E-2"/>
    <n v="0.14599999999999999"/>
    <n v="0.126"/>
    <n v="45.936000000000007"/>
    <n v="340.12800000000004"/>
    <n v="149.94199999999998"/>
    <n v="2445.6459999999997"/>
    <n v="2595.5879999999997"/>
    <n v="2835.252"/>
  </r>
  <r>
    <x v="27"/>
    <x v="3"/>
    <s v="Rural"/>
    <n v="37560"/>
    <n v="992"/>
    <n v="5824"/>
    <n v="949"/>
    <n v="21321"/>
    <n v="8474"/>
    <n v="28094"/>
    <n v="6.9000000000000006E-2"/>
    <n v="0.17399999999999999"/>
    <n v="0.14800000000000002"/>
    <n v="68.448000000000008"/>
    <n v="401.85600000000005"/>
    <n v="165.12599999999998"/>
    <n v="3709.8539999999998"/>
    <n v="3874.9799999999996"/>
    <n v="4157.9120000000003"/>
  </r>
  <r>
    <x v="28"/>
    <x v="0"/>
    <s v="Urban"/>
    <n v="170888"/>
    <n v="5544"/>
    <n v="30234"/>
    <n v="6091"/>
    <n v="97791"/>
    <n v="31228"/>
    <n v="134116"/>
    <n v="6.2E-2"/>
    <n v="0.17199999999999999"/>
    <n v="0.14199999999999999"/>
    <n v="343.72800000000001"/>
    <n v="1874.508"/>
    <n v="1047.6519999999998"/>
    <n v="16820.052"/>
    <n v="17867.703999999998"/>
    <n v="19044.471999999998"/>
  </r>
  <r>
    <x v="29"/>
    <x v="0"/>
    <s v="Urban"/>
    <n v="43965"/>
    <n v="1262"/>
    <n v="7168"/>
    <n v="1591"/>
    <n v="24641"/>
    <n v="9303"/>
    <n v="33400"/>
    <n v="6.7000000000000004E-2"/>
    <n v="0.155"/>
    <n v="0.13100000000000001"/>
    <n v="84.554000000000002"/>
    <n v="480.25600000000003"/>
    <n v="246.60499999999999"/>
    <n v="3819.355"/>
    <n v="4065.96"/>
    <n v="4375.4000000000005"/>
  </r>
  <r>
    <x v="30"/>
    <x v="4"/>
    <s v="Rural"/>
    <n v="59756"/>
    <n v="2105"/>
    <n v="11731"/>
    <n v="2412"/>
    <n v="32464"/>
    <n v="11044"/>
    <n v="46607"/>
    <n v="8.5000000000000006E-2"/>
    <n v="0.25700000000000001"/>
    <n v="0.20699999999999999"/>
    <n v="178.92500000000001"/>
    <n v="997.1350000000001"/>
    <n v="619.88400000000001"/>
    <n v="8343.2479999999996"/>
    <n v="8963.1319999999996"/>
    <n v="9647.6489999999994"/>
  </r>
  <r>
    <x v="31"/>
    <x v="6"/>
    <s v="Urban"/>
    <n v="320322"/>
    <n v="12750"/>
    <n v="62496"/>
    <n v="15155"/>
    <n v="187379"/>
    <n v="42542"/>
    <n v="265030"/>
    <n v="5.0999999999999997E-2"/>
    <n v="0.151"/>
    <n v="0.126"/>
    <n v="650.25"/>
    <n v="3187.2959999999998"/>
    <n v="2288.4049999999997"/>
    <n v="28294.228999999999"/>
    <n v="30582.633999999998"/>
    <n v="33393.78"/>
  </r>
  <r>
    <x v="32"/>
    <x v="4"/>
    <s v="Urban"/>
    <n v="52447"/>
    <n v="1782"/>
    <n v="10026"/>
    <n v="2081"/>
    <n v="27646"/>
    <n v="10912"/>
    <n v="39753"/>
    <n v="4.2000000000000003E-2"/>
    <n v="0.16"/>
    <n v="0.127"/>
    <n v="74.844000000000008"/>
    <n v="421.09200000000004"/>
    <n v="332.96"/>
    <n v="4423.3599999999997"/>
    <n v="4756.32"/>
    <n v="5048.6310000000003"/>
  </r>
  <r>
    <x v="33"/>
    <x v="0"/>
    <s v="Urban"/>
    <n v="383123"/>
    <n v="13529"/>
    <n v="73531"/>
    <n v="16737"/>
    <n v="216687"/>
    <n v="62639"/>
    <n v="306955"/>
    <n v="4.2999999999999997E-2"/>
    <n v="0.161"/>
    <n v="0.128"/>
    <n v="581.74699999999996"/>
    <n v="3161.8329999999996"/>
    <n v="2694.6570000000002"/>
    <n v="34886.607000000004"/>
    <n v="37581.264000000003"/>
    <n v="39290.239999999998"/>
  </r>
  <r>
    <x v="34"/>
    <x v="0"/>
    <s v="Urban"/>
    <n v="70212"/>
    <n v="2257"/>
    <n v="12559"/>
    <n v="2821"/>
    <n v="40009"/>
    <n v="12566"/>
    <n v="55389"/>
    <n v="5.7000000000000002E-2"/>
    <n v="0.16800000000000001"/>
    <n v="0.13800000000000001"/>
    <n v="128.649"/>
    <n v="715.86300000000006"/>
    <n v="473.92800000000005"/>
    <n v="6721.5120000000006"/>
    <n v="7195.4400000000005"/>
    <n v="7643.6820000000007"/>
  </r>
  <r>
    <x v="35"/>
    <x v="5"/>
    <s v="Urban"/>
    <n v="223842"/>
    <n v="7798"/>
    <n v="41609"/>
    <n v="8875"/>
    <n v="128226"/>
    <n v="37334"/>
    <n v="178710"/>
    <n v="0.05"/>
    <n v="0.152"/>
    <n v="0.124"/>
    <n v="389.90000000000003"/>
    <n v="2080.4500000000003"/>
    <n v="1349"/>
    <n v="19490.351999999999"/>
    <n v="20839.351999999999"/>
    <n v="22160.04"/>
  </r>
  <r>
    <x v="36"/>
    <x v="3"/>
    <s v="Urban"/>
    <n v="12165"/>
    <n v="256"/>
    <n v="1977"/>
    <n v="424"/>
    <n v="7010"/>
    <n v="2498"/>
    <n v="9411"/>
    <n v="5.2999999999999999E-2"/>
    <n v="0.127"/>
    <n v="0.10800000000000001"/>
    <n v="13.568"/>
    <n v="104.78099999999999"/>
    <n v="53.847999999999999"/>
    <n v="890.27"/>
    <n v="944.11799999999994"/>
    <n v="1016.3880000000001"/>
  </r>
  <r>
    <x v="37"/>
    <x v="1"/>
    <s v="Rural"/>
    <n v="8686"/>
    <n v="263"/>
    <n v="1465"/>
    <n v="337"/>
    <n v="4431"/>
    <n v="2190"/>
    <n v="6233"/>
    <n v="7.9000000000000001E-2"/>
    <n v="0.222"/>
    <n v="0.185"/>
    <n v="20.777000000000001"/>
    <n v="115.735"/>
    <n v="74.814000000000007"/>
    <n v="983.68200000000002"/>
    <n v="1058.4960000000001"/>
    <n v="1153.105"/>
  </r>
  <r>
    <x v="38"/>
    <x v="0"/>
    <s v="Urban"/>
    <n v="62147"/>
    <n v="1843"/>
    <n v="10063"/>
    <n v="2633"/>
    <n v="36782"/>
    <n v="10826"/>
    <n v="49478"/>
    <n v="5.5999999999999994E-2"/>
    <n v="0.15"/>
    <n v="0.125"/>
    <n v="103.20799999999998"/>
    <n v="563.52799999999991"/>
    <n v="394.95"/>
    <n v="5517.3"/>
    <n v="5912.25"/>
    <n v="6184.75"/>
  </r>
  <r>
    <x v="39"/>
    <x v="4"/>
    <s v="Rural"/>
    <n v="21051"/>
    <n v="633"/>
    <n v="3646"/>
    <n v="777"/>
    <n v="12368"/>
    <n v="3627"/>
    <n v="16791"/>
    <n v="8.5000000000000006E-2"/>
    <n v="0.23800000000000002"/>
    <n v="0.19600000000000001"/>
    <n v="53.805000000000007"/>
    <n v="309.91000000000003"/>
    <n v="184.92600000000002"/>
    <n v="2943.5840000000003"/>
    <n v="3128.51"/>
    <n v="3291.0360000000001"/>
  </r>
  <r>
    <x v="40"/>
    <x v="2"/>
    <s v="Urban"/>
    <n v="545348"/>
    <n v="18879"/>
    <n v="97763"/>
    <n v="28336"/>
    <n v="314015"/>
    <n v="86355"/>
    <n v="440114"/>
    <n v="4.7E-2"/>
    <n v="0.14000000000000001"/>
    <n v="0.115"/>
    <n v="887.31299999999999"/>
    <n v="4594.8609999999999"/>
    <n v="3967.0400000000004"/>
    <n v="43962.100000000006"/>
    <n v="47929.140000000007"/>
    <n v="50613.11"/>
  </r>
  <r>
    <x v="41"/>
    <x v="0"/>
    <s v="Rural"/>
    <n v="50838"/>
    <n v="1719"/>
    <n v="8919"/>
    <n v="1824"/>
    <n v="27546"/>
    <n v="10830"/>
    <n v="38289"/>
    <n v="5.2000000000000005E-2"/>
    <n v="0.16399999999999998"/>
    <n v="0.13300000000000001"/>
    <n v="89.388000000000005"/>
    <n v="463.78800000000007"/>
    <n v="299.13599999999997"/>
    <n v="4517.5439999999999"/>
    <n v="4816.68"/>
    <n v="5092.4369999999999"/>
  </r>
  <r>
    <x v="42"/>
    <x v="2"/>
    <s v="Urban"/>
    <n v="137358"/>
    <n v="5718"/>
    <n v="30793"/>
    <n v="6528"/>
    <n v="76122"/>
    <n v="18197"/>
    <n v="113443"/>
    <n v="5.0999999999999997E-2"/>
    <n v="0.17899999999999999"/>
    <n v="0.14000000000000001"/>
    <n v="291.61799999999999"/>
    <n v="1570.443"/>
    <n v="1168.5119999999999"/>
    <n v="13625.838"/>
    <n v="14794.35"/>
    <n v="15882.020000000002"/>
  </r>
  <r>
    <x v="43"/>
    <x v="1"/>
    <s v="Urban"/>
    <n v="63813"/>
    <n v="1823"/>
    <n v="9556"/>
    <n v="1990"/>
    <n v="33897"/>
    <n v="16547"/>
    <n v="45443"/>
    <n v="5.4000000000000006E-2"/>
    <n v="0.14599999999999999"/>
    <n v="0.12300000000000001"/>
    <n v="98.442000000000007"/>
    <n v="516.02400000000011"/>
    <n v="290.53999999999996"/>
    <n v="4948.9619999999995"/>
    <n v="5239.5019999999995"/>
    <n v="5589.4890000000005"/>
  </r>
  <r>
    <x v="44"/>
    <x v="1"/>
    <s v="Urban"/>
    <n v="119730"/>
    <n v="3340"/>
    <n v="18577"/>
    <n v="3691"/>
    <n v="61285"/>
    <n v="32837"/>
    <n v="83553"/>
    <n v="6.3E-2"/>
    <n v="0.17499999999999999"/>
    <n v="0.14599999999999999"/>
    <n v="210.42"/>
    <n v="1170.3510000000001"/>
    <n v="645.92499999999995"/>
    <n v="10724.875"/>
    <n v="11370.8"/>
    <n v="12198.737999999999"/>
  </r>
  <r>
    <x v="45"/>
    <x v="3"/>
    <s v="Rural"/>
    <n v="24015"/>
    <n v="669"/>
    <n v="3926"/>
    <n v="1261"/>
    <n v="13385"/>
    <n v="4774"/>
    <n v="18572"/>
    <n v="4.4999999999999998E-2"/>
    <n v="0.151"/>
    <n v="0.12300000000000001"/>
    <n v="30.105"/>
    <n v="176.67"/>
    <n v="190.411"/>
    <n v="2021.135"/>
    <n v="2211.5459999999998"/>
    <n v="2284.3560000000002"/>
  </r>
  <r>
    <x v="46"/>
    <x v="2"/>
    <s v="Urban"/>
    <n v="55802"/>
    <n v="2621"/>
    <n v="14252"/>
    <n v="2477"/>
    <n v="30732"/>
    <n v="5720"/>
    <n v="47461"/>
    <n v="0.05"/>
    <n v="0.19899999999999998"/>
    <n v="0.153"/>
    <n v="131.05000000000001"/>
    <n v="712.6"/>
    <n v="492.92299999999994"/>
    <n v="6115.6679999999997"/>
    <n v="6608.5909999999994"/>
    <n v="7261.5329999999994"/>
  </r>
  <r>
    <x v="47"/>
    <x v="3"/>
    <s v="Rural"/>
    <n v="5156"/>
    <n v="117"/>
    <n v="728"/>
    <n v="146"/>
    <n v="3035"/>
    <n v="1130"/>
    <n v="3909"/>
    <n v="7.2999999999999995E-2"/>
    <n v="0.20399999999999999"/>
    <n v="0.17199999999999999"/>
    <n v="8.5409999999999986"/>
    <n v="53.143999999999998"/>
    <n v="29.783999999999999"/>
    <n v="619.14"/>
    <n v="648.92399999999998"/>
    <n v="672.34799999999996"/>
  </r>
  <r>
    <x v="48"/>
    <x v="5"/>
    <s v="Urban"/>
    <n v="184023"/>
    <n v="5964"/>
    <n v="32852"/>
    <n v="7626"/>
    <n v="107327"/>
    <n v="30254"/>
    <n v="147805"/>
    <n v="0.06"/>
    <n v="0.14499999999999999"/>
    <n v="0.121"/>
    <n v="357.84"/>
    <n v="1971.12"/>
    <n v="1105.77"/>
    <n v="15562.414999999999"/>
    <n v="16668.184999999998"/>
    <n v="17884.404999999999"/>
  </r>
  <r>
    <x v="49"/>
    <x v="1"/>
    <s v="Rural"/>
    <n v="44848"/>
    <n v="1169"/>
    <n v="6314"/>
    <n v="4135"/>
    <n v="24273"/>
    <n v="8957"/>
    <n v="34722"/>
    <n v="6.6000000000000003E-2"/>
    <n v="0.20699999999999999"/>
    <n v="0.17399999999999999"/>
    <n v="77.154000000000011"/>
    <n v="416.72400000000005"/>
    <n v="855.94499999999994"/>
    <n v="5024.5109999999995"/>
    <n v="5880.4559999999992"/>
    <n v="6041.6279999999997"/>
  </r>
  <r>
    <x v="50"/>
    <x v="6"/>
    <s v="Urban"/>
    <n v="212401"/>
    <n v="7537"/>
    <n v="43060"/>
    <n v="8812"/>
    <n v="123575"/>
    <n v="29417"/>
    <n v="175447"/>
    <n v="6.0999999999999999E-2"/>
    <n v="0.16800000000000001"/>
    <n v="0.13600000000000001"/>
    <n v="459.75700000000001"/>
    <n v="2626.66"/>
    <n v="1480.4160000000002"/>
    <n v="20760.600000000002"/>
    <n v="22241.016000000003"/>
    <n v="23860.792000000001"/>
  </r>
  <r>
    <x v="51"/>
    <x v="3"/>
    <s v="Urban"/>
    <n v="10194"/>
    <n v="306"/>
    <n v="1671"/>
    <n v="301"/>
    <n v="5652"/>
    <n v="2264"/>
    <n v="7624"/>
    <n v="6.8000000000000005E-2"/>
    <n v="0.18600000000000003"/>
    <n v="0.158"/>
    <n v="20.808"/>
    <n v="113.62800000000001"/>
    <n v="55.986000000000011"/>
    <n v="1051.2720000000002"/>
    <n v="1107.2580000000003"/>
    <n v="1204.5920000000001"/>
  </r>
  <r>
    <x v="52"/>
    <x v="2"/>
    <s v="Rural"/>
    <n v="62429"/>
    <n v="2402"/>
    <n v="12796"/>
    <n v="2465"/>
    <n v="34143"/>
    <n v="10623"/>
    <n v="49404"/>
    <n v="6.6000000000000003E-2"/>
    <n v="0.20100000000000001"/>
    <n v="0.16200000000000001"/>
    <n v="158.53200000000001"/>
    <n v="844.53600000000006"/>
    <n v="495.46500000000003"/>
    <n v="6862.7430000000004"/>
    <n v="7358.2080000000005"/>
    <n v="8003.4480000000003"/>
  </r>
  <r>
    <x v="53"/>
    <x v="4"/>
    <s v="Rural"/>
    <n v="55963"/>
    <n v="1907"/>
    <n v="10221"/>
    <n v="2098"/>
    <n v="30187"/>
    <n v="11550"/>
    <n v="42506"/>
    <n v="5.0999999999999997E-2"/>
    <n v="0.17699999999999999"/>
    <n v="0.14199999999999999"/>
    <n v="97.256999999999991"/>
    <n v="521.27099999999996"/>
    <n v="371.346"/>
    <n v="5343.0990000000002"/>
    <n v="5714.4449999999997"/>
    <n v="6035.8519999999999"/>
  </r>
  <r>
    <x v="54"/>
    <x v="5"/>
    <s v="Urban"/>
    <n v="88151"/>
    <n v="2607"/>
    <n v="14840"/>
    <n v="3260"/>
    <n v="51260"/>
    <n v="16184"/>
    <n v="69360"/>
    <n v="5.2999999999999999E-2"/>
    <n v="0.14899999999999999"/>
    <n v="0.124"/>
    <n v="138.17099999999999"/>
    <n v="786.52"/>
    <n v="485.73999999999995"/>
    <n v="7637.74"/>
    <n v="8123.48"/>
    <n v="8600.64"/>
  </r>
  <r>
    <x v="55"/>
    <x v="1"/>
    <s v="Rural"/>
    <n v="36897"/>
    <n v="1150"/>
    <n v="5605"/>
    <n v="1262"/>
    <n v="18099"/>
    <n v="10781"/>
    <n v="24966"/>
    <n v="7.9000000000000001E-2"/>
    <n v="0.214"/>
    <n v="0.17899999999999999"/>
    <n v="90.85"/>
    <n v="442.79500000000002"/>
    <n v="270.06799999999998"/>
    <n v="3873.1860000000001"/>
    <n v="4143.2539999999999"/>
    <n v="4468.9139999999998"/>
  </r>
  <r>
    <x v="56"/>
    <x v="1"/>
    <s v="Urban"/>
    <n v="22843"/>
    <n v="641"/>
    <n v="3317"/>
    <n v="1385"/>
    <n v="12133"/>
    <n v="5367"/>
    <n v="16835"/>
    <n v="5.7000000000000002E-2"/>
    <n v="0.14699999999999999"/>
    <n v="0.125"/>
    <n v="36.536999999999999"/>
    <n v="189.06900000000002"/>
    <n v="203.595"/>
    <n v="1783.5509999999999"/>
    <n v="1987.146"/>
    <n v="2104.375"/>
  </r>
  <r>
    <x v="57"/>
    <x v="3"/>
    <s v="Rural"/>
    <n v="23039"/>
    <n v="790"/>
    <n v="3828"/>
    <n v="732"/>
    <n v="12255"/>
    <n v="5434"/>
    <n v="16815"/>
    <n v="5.4000000000000006E-2"/>
    <n v="0.14300000000000002"/>
    <n v="0.12"/>
    <n v="42.660000000000004"/>
    <n v="206.71200000000002"/>
    <n v="104.67600000000002"/>
    <n v="1752.4650000000001"/>
    <n v="1857.1410000000001"/>
    <n v="2017.8"/>
  </r>
  <r>
    <x v="58"/>
    <x v="1"/>
    <s v="Rural"/>
    <n v="46905"/>
    <n v="1349"/>
    <n v="7669"/>
    <n v="1644"/>
    <n v="26163"/>
    <n v="10080"/>
    <n v="35476"/>
    <n v="4.9000000000000002E-2"/>
    <n v="0.17"/>
    <n v="0.13800000000000001"/>
    <n v="66.100999999999999"/>
    <n v="375.78100000000001"/>
    <n v="279.48"/>
    <n v="4447.71"/>
    <n v="4727.1900000000005"/>
    <n v="4895.6880000000001"/>
  </r>
  <r>
    <x v="59"/>
    <x v="0"/>
    <s v="Urban"/>
    <n v="1131342"/>
    <n v="44350"/>
    <n v="219366"/>
    <n v="41366"/>
    <n v="690724"/>
    <n v="135536"/>
    <n v="951456"/>
    <n v="5.5E-2"/>
    <n v="0.158"/>
    <n v="0.13"/>
    <n v="2439.25"/>
    <n v="12065.13"/>
    <n v="6535.8280000000004"/>
    <n v="109134.39200000001"/>
    <n v="115670.22"/>
    <n v="123689.28"/>
  </r>
  <r>
    <x v="60"/>
    <x v="1"/>
    <s v="Rural"/>
    <n v="15258"/>
    <n v="456"/>
    <n v="2285"/>
    <n v="524"/>
    <n v="8315"/>
    <n v="3678"/>
    <n v="11124"/>
    <n v="6.4000000000000001E-2"/>
    <n v="0.17100000000000001"/>
    <n v="0.14499999999999999"/>
    <n v="29.184000000000001"/>
    <n v="146.24"/>
    <n v="89.604000000000013"/>
    <n v="1421.865"/>
    <n v="1511.4690000000001"/>
    <n v="1612.9799999999998"/>
  </r>
  <r>
    <x v="61"/>
    <x v="2"/>
    <s v="Rural"/>
    <n v="27712"/>
    <n v="881"/>
    <n v="4915"/>
    <n v="1193"/>
    <n v="14790"/>
    <n v="5933"/>
    <n v="20898"/>
    <n v="6.5000000000000002E-2"/>
    <n v="0.18899999999999997"/>
    <n v="0.154"/>
    <n v="57.265000000000001"/>
    <n v="319.47500000000002"/>
    <n v="225.47699999999998"/>
    <n v="2795.3099999999995"/>
    <n v="3020.7869999999994"/>
    <n v="3218.2919999999999"/>
  </r>
  <r>
    <x v="62"/>
    <x v="2"/>
    <s v="Rural"/>
    <n v="102950"/>
    <n v="3682"/>
    <n v="17344"/>
    <n v="3506"/>
    <n v="50766"/>
    <n v="27652"/>
    <n v="71616"/>
    <n v="0.06"/>
    <n v="0.14199999999999999"/>
    <n v="0.11900000000000001"/>
    <n v="220.92"/>
    <n v="1040.6399999999999"/>
    <n v="497.85199999999998"/>
    <n v="7208.771999999999"/>
    <n v="7706.6239999999989"/>
    <n v="8522.3040000000001"/>
  </r>
  <r>
    <x v="63"/>
    <x v="3"/>
    <s v="Urban"/>
    <n v="95923"/>
    <n v="3290"/>
    <n v="16585"/>
    <n v="3674"/>
    <n v="53686"/>
    <n v="18688"/>
    <n v="73945"/>
    <n v="5.2000000000000005E-2"/>
    <n v="0.14699999999999999"/>
    <n v="0.121"/>
    <n v="171.08"/>
    <n v="862.42000000000007"/>
    <n v="540.07799999999997"/>
    <n v="7891.8419999999996"/>
    <n v="8431.92"/>
    <n v="8947.3449999999993"/>
  </r>
  <r>
    <x v="64"/>
    <x v="3"/>
    <s v="Urban"/>
    <n v="239272"/>
    <n v="7018"/>
    <n v="36480"/>
    <n v="12412"/>
    <n v="140361"/>
    <n v="43001"/>
    <n v="189253"/>
    <n v="5.2000000000000005E-2"/>
    <n v="0.13800000000000001"/>
    <n v="0.11699999999999999"/>
    <n v="364.93600000000004"/>
    <n v="1896.9600000000003"/>
    <n v="1712.8560000000002"/>
    <n v="19369.818000000003"/>
    <n v="21082.674000000003"/>
    <n v="22142.600999999999"/>
  </r>
  <r>
    <x v="65"/>
    <x v="3"/>
    <s v="Rural"/>
    <n v="20258"/>
    <n v="573"/>
    <n v="3107"/>
    <n v="595"/>
    <n v="11103"/>
    <n v="4880"/>
    <n v="14805"/>
    <n v="5.0999999999999997E-2"/>
    <n v="0.14800000000000002"/>
    <n v="0.125"/>
    <n v="29.222999999999999"/>
    <n v="158.45699999999999"/>
    <n v="88.060000000000016"/>
    <n v="1643.2440000000001"/>
    <n v="1731.3040000000001"/>
    <n v="1850.625"/>
  </r>
  <r>
    <x v="66"/>
    <x v="3"/>
    <s v="Urban"/>
    <n v="204357"/>
    <n v="11261"/>
    <n v="51761"/>
    <n v="13121"/>
    <n v="108048"/>
    <n v="20166"/>
    <n v="172930"/>
    <n v="3.5000000000000003E-2"/>
    <n v="0.127"/>
    <n v="9.9000000000000005E-2"/>
    <n v="394.13500000000005"/>
    <n v="1811.6350000000002"/>
    <n v="1666.367"/>
    <n v="13722.096"/>
    <n v="15388.463"/>
    <n v="17120.07"/>
  </r>
  <r>
    <x v="67"/>
    <x v="0"/>
    <s v="Urban"/>
    <n v="148610"/>
    <n v="3585"/>
    <n v="22656"/>
    <n v="12533"/>
    <n v="87278"/>
    <n v="22558"/>
    <n v="122467"/>
    <n v="5.2000000000000005E-2"/>
    <n v="0.122"/>
    <n v="0.10400000000000001"/>
    <n v="186.42000000000002"/>
    <n v="1178.1120000000001"/>
    <n v="1529.0260000000001"/>
    <n v="10647.915999999999"/>
    <n v="12176.941999999999"/>
    <n v="12736.568000000001"/>
  </r>
  <r>
    <x v="68"/>
    <x v="3"/>
    <s v="Urban"/>
    <n v="13283"/>
    <n v="288"/>
    <n v="1678"/>
    <n v="331"/>
    <n v="7059"/>
    <n v="3927"/>
    <n v="9068"/>
    <n v="6.8000000000000005E-2"/>
    <n v="0.152"/>
    <n v="0.13200000000000001"/>
    <n v="19.584000000000003"/>
    <n v="114.10400000000001"/>
    <n v="50.311999999999998"/>
    <n v="1072.9680000000001"/>
    <n v="1123.28"/>
    <n v="1196.9760000000001"/>
  </r>
  <r>
    <x v="69"/>
    <x v="3"/>
    <s v="Rural"/>
    <n v="39685"/>
    <n v="1285"/>
    <n v="7713"/>
    <n v="2401"/>
    <n v="21833"/>
    <n v="6453"/>
    <n v="31947"/>
    <n v="4.9000000000000002E-2"/>
    <n v="0.14199999999999999"/>
    <n v="0.11599999999999999"/>
    <n v="62.965000000000003"/>
    <n v="377.93700000000001"/>
    <n v="340.94199999999995"/>
    <n v="3100.2859999999996"/>
    <n v="3441.2279999999996"/>
    <n v="3705.8519999999999"/>
  </r>
  <r>
    <x v="70"/>
    <x v="3"/>
    <s v="Urban"/>
    <n v="64578"/>
    <n v="1979"/>
    <n v="10975"/>
    <n v="2543"/>
    <n v="36909"/>
    <n v="12172"/>
    <n v="50427"/>
    <n v="5.4000000000000006E-2"/>
    <n v="0.157"/>
    <n v="0.128"/>
    <n v="106.86600000000001"/>
    <n v="592.65000000000009"/>
    <n v="399.25099999999998"/>
    <n v="5794.7129999999997"/>
    <n v="6193.9639999999999"/>
    <n v="6454.6559999999999"/>
  </r>
  <r>
    <x v="71"/>
    <x v="3"/>
    <s v="Rural"/>
    <n v="13637"/>
    <n v="353"/>
    <n v="2103"/>
    <n v="407"/>
    <n v="6960"/>
    <n v="3814"/>
    <n v="9470"/>
    <n v="7.0999999999999994E-2"/>
    <n v="0.158"/>
    <n v="0.13600000000000001"/>
    <n v="25.062999999999999"/>
    <n v="149.31299999999999"/>
    <n v="64.305999999999997"/>
    <n v="1099.68"/>
    <n v="1163.9860000000001"/>
    <n v="1287.92"/>
  </r>
  <r>
    <x v="72"/>
    <x v="0"/>
    <s v="Urban"/>
    <n v="40529"/>
    <n v="1379"/>
    <n v="6879"/>
    <n v="1383"/>
    <n v="22763"/>
    <n v="8125"/>
    <n v="31025"/>
    <n v="5.2000000000000005E-2"/>
    <n v="0.14099999999999999"/>
    <n v="0.11699999999999999"/>
    <n v="71.708000000000013"/>
    <n v="357.70800000000003"/>
    <n v="195.00299999999999"/>
    <n v="3209.5829999999996"/>
    <n v="3404.5859999999998"/>
    <n v="3629.9249999999997"/>
  </r>
  <r>
    <x v="73"/>
    <x v="3"/>
    <s v="Urban"/>
    <n v="181005"/>
    <n v="6217"/>
    <n v="32694"/>
    <n v="15231"/>
    <n v="102005"/>
    <n v="24858"/>
    <n v="149930"/>
    <n v="4.4999999999999998E-2"/>
    <n v="0.14400000000000002"/>
    <n v="0.11800000000000001"/>
    <n v="279.76499999999999"/>
    <n v="1471.23"/>
    <n v="2193.2640000000001"/>
    <n v="14688.720000000001"/>
    <n v="16881.984"/>
    <n v="17691.740000000002"/>
  </r>
  <r>
    <x v="74"/>
    <x v="1"/>
    <s v="Rural"/>
    <n v="21852"/>
    <n v="499"/>
    <n v="2861"/>
    <n v="698"/>
    <n v="11139"/>
    <n v="6655"/>
    <n v="14698"/>
    <n v="6.4000000000000001E-2"/>
    <n v="0.16399999999999998"/>
    <n v="0.14000000000000001"/>
    <n v="31.936"/>
    <n v="183.10400000000001"/>
    <n v="114.47199999999998"/>
    <n v="1826.7959999999998"/>
    <n v="1941.2679999999998"/>
    <n v="2057.7200000000003"/>
  </r>
  <r>
    <x v="75"/>
    <x v="2"/>
    <s v="Urban"/>
    <n v="145807"/>
    <n v="4791"/>
    <n v="26468"/>
    <n v="6073"/>
    <n v="82028"/>
    <n v="26447"/>
    <n v="114569"/>
    <n v="5.4000000000000006E-2"/>
    <n v="0.19699999999999998"/>
    <n v="0.157"/>
    <n v="258.71400000000006"/>
    <n v="1429.2720000000002"/>
    <n v="1196.3809999999999"/>
    <n v="16159.515999999998"/>
    <n v="17355.896999999997"/>
    <n v="17987.332999999999"/>
  </r>
  <r>
    <x v="76"/>
    <x v="2"/>
    <s v="Rural"/>
    <n v="44993"/>
    <n v="1641"/>
    <n v="8428"/>
    <n v="2119"/>
    <n v="24602"/>
    <n v="8203"/>
    <n v="35149"/>
    <n v="4.5999999999999999E-2"/>
    <n v="0.17100000000000001"/>
    <n v="0.13600000000000001"/>
    <n v="75.486000000000004"/>
    <n v="387.68799999999999"/>
    <n v="362.34900000000005"/>
    <n v="4206.942"/>
    <n v="4569.2910000000002"/>
    <n v="4780.2640000000001"/>
  </r>
  <r>
    <x v="77"/>
    <x v="4"/>
    <s v="Rural"/>
    <n v="130529"/>
    <n v="4921"/>
    <n v="25423"/>
    <n v="8058"/>
    <n v="71570"/>
    <n v="20557"/>
    <n v="105051"/>
    <n v="6.3E-2"/>
    <n v="0.23800000000000002"/>
    <n v="0.185"/>
    <n v="310.02300000000002"/>
    <n v="1601.6490000000001"/>
    <n v="1917.8040000000001"/>
    <n v="17033.66"/>
    <n v="18951.464"/>
    <n v="19434.435000000001"/>
  </r>
  <r>
    <x v="78"/>
    <x v="0"/>
    <s v="Urban"/>
    <n v="91830"/>
    <n v="2842"/>
    <n v="15143"/>
    <n v="3299"/>
    <n v="51444"/>
    <n v="19102"/>
    <n v="69886"/>
    <n v="4.8000000000000001E-2"/>
    <n v="0.16300000000000001"/>
    <n v="0.13300000000000001"/>
    <n v="136.416"/>
    <n v="726.86400000000003"/>
    <n v="537.73699999999997"/>
    <n v="8385.3720000000012"/>
    <n v="8923.1090000000004"/>
    <n v="9294.8379999999997"/>
  </r>
  <r>
    <x v="79"/>
    <x v="0"/>
    <s v="Urban"/>
    <n v="143259"/>
    <n v="4793"/>
    <n v="26575"/>
    <n v="5890"/>
    <n v="80287"/>
    <n v="25714"/>
    <n v="112752"/>
    <n v="5.2000000000000005E-2"/>
    <n v="0.16800000000000001"/>
    <n v="0.13600000000000001"/>
    <n v="249.23600000000002"/>
    <n v="1381.9"/>
    <n v="989.5200000000001"/>
    <n v="13488.216"/>
    <n v="14477.736000000001"/>
    <n v="15334.272000000001"/>
  </r>
  <r>
    <x v="80"/>
    <x v="5"/>
    <s v="Rural"/>
    <n v="69105"/>
    <n v="2120"/>
    <n v="11526"/>
    <n v="2483"/>
    <n v="37885"/>
    <n v="15091"/>
    <n v="51894"/>
    <n v="5.4000000000000006E-2"/>
    <n v="0.17100000000000001"/>
    <n v="0.14000000000000001"/>
    <n v="114.48000000000002"/>
    <n v="622.40400000000011"/>
    <n v="424.59300000000002"/>
    <n v="6478.3350000000009"/>
    <n v="6902.9280000000008"/>
    <n v="7265.1600000000008"/>
  </r>
  <r>
    <x v="81"/>
    <x v="4"/>
    <s v="Rural"/>
    <n v="64458"/>
    <n v="2517"/>
    <n v="12861"/>
    <n v="2821"/>
    <n v="34524"/>
    <n v="11735"/>
    <n v="50206"/>
    <n v="6.7000000000000004E-2"/>
    <n v="0.24"/>
    <n v="0.188"/>
    <n v="168.63900000000001"/>
    <n v="861.68700000000001"/>
    <n v="677.04"/>
    <n v="8285.76"/>
    <n v="8962.7999999999993"/>
    <n v="9438.7279999999992"/>
  </r>
  <r>
    <x v="82"/>
    <x v="4"/>
    <s v="Rural"/>
    <n v="35690"/>
    <n v="1425"/>
    <n v="6926"/>
    <n v="1274"/>
    <n v="19305"/>
    <n v="6760"/>
    <n v="27505"/>
    <n v="4.7E-2"/>
    <n v="0.187"/>
    <n v="0.14499999999999999"/>
    <n v="66.974999999999994"/>
    <n v="325.52199999999999"/>
    <n v="238.238"/>
    <n v="3610.0349999999999"/>
    <n v="3848.2729999999997"/>
    <n v="3988.2249999999999"/>
  </r>
  <r>
    <x v="83"/>
    <x v="0"/>
    <s v="Rural"/>
    <n v="64236"/>
    <n v="2118"/>
    <n v="11127"/>
    <n v="2415"/>
    <n v="35879"/>
    <n v="12697"/>
    <n v="49421"/>
    <n v="5.4000000000000006E-2"/>
    <n v="0.158"/>
    <n v="0.13"/>
    <n v="114.37200000000001"/>
    <n v="600.85800000000006"/>
    <n v="381.57"/>
    <n v="5668.8819999999996"/>
    <n v="6050.4519999999993"/>
    <n v="6424.7300000000005"/>
  </r>
  <r>
    <x v="84"/>
    <x v="0"/>
    <s v="Urban"/>
    <n v="46360"/>
    <n v="1302"/>
    <n v="7005"/>
    <n v="1342"/>
    <n v="26863"/>
    <n v="9848"/>
    <n v="35210"/>
    <n v="5.2999999999999999E-2"/>
    <n v="0.14599999999999999"/>
    <n v="0.124"/>
    <n v="69.006"/>
    <n v="371.26499999999999"/>
    <n v="195.93199999999999"/>
    <n v="3921.9979999999996"/>
    <n v="4117.9299999999994"/>
    <n v="4366.04"/>
  </r>
  <r>
    <x v="85"/>
    <x v="5"/>
    <s v="Rural"/>
    <n v="73231"/>
    <n v="2304"/>
    <n v="12649"/>
    <n v="2888"/>
    <n v="40618"/>
    <n v="14772"/>
    <n v="56155"/>
    <n v="6.3E-2"/>
    <n v="0.184"/>
    <n v="0.152"/>
    <n v="145.15199999999999"/>
    <n v="796.88700000000006"/>
    <n v="531.39199999999994"/>
    <n v="7473.7119999999995"/>
    <n v="8005.1039999999994"/>
    <n v="8535.56"/>
  </r>
  <r>
    <x v="86"/>
    <x v="1"/>
    <s v="Rural"/>
    <n v="14108"/>
    <n v="494"/>
    <n v="2758"/>
    <n v="443"/>
    <n v="7462"/>
    <n v="2951"/>
    <n v="10663"/>
    <n v="8.199999999999999E-2"/>
    <n v="0.23499999999999999"/>
    <n v="0.193"/>
    <n v="40.507999999999996"/>
    <n v="226.15599999999998"/>
    <n v="104.10499999999999"/>
    <n v="1753.57"/>
    <n v="1857.675"/>
    <n v="2057.9589999999998"/>
  </r>
  <r>
    <x v="87"/>
    <x v="1"/>
    <s v="Rural"/>
    <n v="35806"/>
    <n v="905"/>
    <n v="4775"/>
    <n v="1340"/>
    <n v="17235"/>
    <n v="11551"/>
    <n v="23350"/>
    <n v="6.0999999999999999E-2"/>
    <n v="0.19800000000000001"/>
    <n v="0.16600000000000001"/>
    <n v="55.204999999999998"/>
    <n v="291.27499999999998"/>
    <n v="265.32"/>
    <n v="3412.53"/>
    <n v="3677.8500000000004"/>
    <n v="3876.1000000000004"/>
  </r>
  <r>
    <x v="88"/>
    <x v="3"/>
    <s v="Rural"/>
    <n v="4260"/>
    <n v="124"/>
    <n v="669"/>
    <n v="123"/>
    <n v="2459"/>
    <n v="885"/>
    <n v="3251"/>
    <n v="7.0999999999999994E-2"/>
    <n v="0.21"/>
    <n v="0.17100000000000001"/>
    <n v="8.8039999999999985"/>
    <n v="47.498999999999995"/>
    <n v="25.83"/>
    <n v="516.39"/>
    <n v="542.22"/>
    <n v="555.92100000000005"/>
  </r>
  <r>
    <x v="89"/>
    <x v="0"/>
    <s v="Urban"/>
    <n v="242657"/>
    <n v="10179"/>
    <n v="47815"/>
    <n v="11609"/>
    <n v="140678"/>
    <n v="32376"/>
    <n v="200102"/>
    <n v="0.06"/>
    <n v="0.153"/>
    <n v="0.12300000000000001"/>
    <n v="610.74"/>
    <n v="2868.9"/>
    <n v="1776.1769999999999"/>
    <n v="21523.734"/>
    <n v="23299.911"/>
    <n v="24612.546000000002"/>
  </r>
  <r>
    <x v="90"/>
    <x v="0"/>
    <s v="Rural"/>
    <n v="46142"/>
    <n v="1721"/>
    <n v="8827"/>
    <n v="1970"/>
    <n v="25006"/>
    <n v="8618"/>
    <n v="35803"/>
    <n v="4.8000000000000001E-2"/>
    <n v="0.16500000000000001"/>
    <n v="0.13200000000000001"/>
    <n v="82.608000000000004"/>
    <n v="423.69600000000003"/>
    <n v="325.05"/>
    <n v="4125.99"/>
    <n v="4451.04"/>
    <n v="4725.9960000000001"/>
  </r>
  <r>
    <x v="91"/>
    <x v="6"/>
    <s v="Urban"/>
    <n v="1109883"/>
    <n v="38845"/>
    <n v="215891"/>
    <n v="47425"/>
    <n v="670579"/>
    <n v="137143"/>
    <n v="933895"/>
    <n v="5.4000000000000006E-2"/>
    <n v="0.11800000000000001"/>
    <n v="0.1"/>
    <n v="2097.63"/>
    <n v="11658.114000000001"/>
    <n v="5596.1500000000005"/>
    <n v="79128.322"/>
    <n v="84724.471999999994"/>
    <n v="93389.5"/>
  </r>
  <r>
    <x v="92"/>
    <x v="0"/>
    <s v="Rural"/>
    <n v="19898"/>
    <n v="539"/>
    <n v="3062"/>
    <n v="584"/>
    <n v="10766"/>
    <n v="4947"/>
    <n v="14412"/>
    <n v="7.0999999999999994E-2"/>
    <n v="0.19699999999999998"/>
    <n v="0.16500000000000001"/>
    <n v="38.268999999999998"/>
    <n v="217.40199999999999"/>
    <n v="115.04799999999999"/>
    <n v="2120.9019999999996"/>
    <n v="2235.9499999999994"/>
    <n v="2377.98"/>
  </r>
  <r>
    <x v="93"/>
    <x v="3"/>
    <s v="Rural"/>
    <n v="11987"/>
    <n v="415"/>
    <n v="2137"/>
    <n v="338"/>
    <n v="6063"/>
    <n v="3034"/>
    <n v="8538"/>
    <n v="5.2000000000000005E-2"/>
    <n v="0.155"/>
    <n v="0.128"/>
    <n v="21.580000000000002"/>
    <n v="111.12400000000001"/>
    <n v="52.39"/>
    <n v="939.76499999999999"/>
    <n v="992.15499999999997"/>
    <n v="1092.864"/>
  </r>
  <r>
    <x v="94"/>
    <x v="1"/>
    <s v="Rural"/>
    <n v="58731"/>
    <n v="1188"/>
    <n v="5872"/>
    <n v="9212"/>
    <n v="32642"/>
    <n v="9817"/>
    <n v="47726"/>
    <n v="5.2999999999999999E-2"/>
    <n v="0.14400000000000002"/>
    <n v="0.128"/>
    <n v="62.963999999999999"/>
    <n v="311.21600000000001"/>
    <n v="1326.5280000000002"/>
    <n v="4700.4480000000003"/>
    <n v="6026.9760000000006"/>
    <n v="6108.9279999999999"/>
  </r>
  <r>
    <x v="95"/>
    <x v="4"/>
    <s v="Urban"/>
    <n v="126606"/>
    <n v="4859"/>
    <n v="25554"/>
    <n v="5192"/>
    <n v="69808"/>
    <n v="21193"/>
    <n v="100554"/>
    <n v="4.9000000000000002E-2"/>
    <n v="0.18899999999999997"/>
    <n v="0.14800000000000002"/>
    <n v="238.09100000000001"/>
    <n v="1252.146"/>
    <n v="981.2879999999999"/>
    <n v="13193.711999999998"/>
    <n v="14174.999999999998"/>
    <n v="14881.992000000002"/>
  </r>
  <r>
    <x v="96"/>
    <x v="1"/>
    <s v="Rural"/>
    <n v="70490"/>
    <n v="2150"/>
    <n v="11639"/>
    <n v="2578"/>
    <n v="38572"/>
    <n v="15551"/>
    <n v="52789"/>
    <n v="5.5999999999999994E-2"/>
    <n v="0.188"/>
    <n v="0.153"/>
    <n v="120.39999999999999"/>
    <n v="651.78399999999988"/>
    <n v="484.66399999999999"/>
    <n v="7251.5360000000001"/>
    <n v="7736.2"/>
    <n v="8076.7169999999996"/>
  </r>
  <r>
    <x v="97"/>
    <x v="4"/>
    <s v="Rural"/>
    <n v="82675"/>
    <n v="2933"/>
    <n v="15582"/>
    <n v="3039"/>
    <n v="45757"/>
    <n v="15364"/>
    <n v="64378"/>
    <n v="5.4000000000000006E-2"/>
    <n v="0.183"/>
    <n v="0.14699999999999999"/>
    <n v="158.38200000000001"/>
    <n v="841.42800000000011"/>
    <n v="556.13699999999994"/>
    <n v="8373.530999999999"/>
    <n v="8929.6679999999997"/>
    <n v="9463.5659999999989"/>
  </r>
  <r>
    <x v="98"/>
    <x v="5"/>
    <s v="Urban"/>
    <n v="38236"/>
    <n v="1181"/>
    <n v="6474"/>
    <n v="1336"/>
    <n v="21496"/>
    <n v="7749"/>
    <n v="29306"/>
    <n v="6.5000000000000002E-2"/>
    <n v="0.17399999999999999"/>
    <n v="0.14499999999999999"/>
    <n v="76.765000000000001"/>
    <n v="420.81"/>
    <n v="232.46399999999997"/>
    <n v="3740.3039999999996"/>
    <n v="3972.7679999999996"/>
    <n v="4249.37"/>
  </r>
  <r>
    <x v="99"/>
    <x v="1"/>
    <s v="Rural"/>
    <n v="18794"/>
    <n v="558"/>
    <n v="2795"/>
    <n v="559"/>
    <n v="10115"/>
    <n v="4767"/>
    <n v="13469"/>
    <n v="6.7000000000000004E-2"/>
    <n v="0.17899999999999999"/>
    <n v="0.151"/>
    <n v="37.386000000000003"/>
    <n v="187.26500000000001"/>
    <n v="100.06099999999999"/>
    <n v="1810.585"/>
    <n v="1910.646"/>
    <n v="2033.8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2300-000000000000}" name="PivotTable1" cacheId="31"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1" baseItem="0" numFmtId="3"/>
    <dataField name="Uninsured NonElderly Adults (Ages 21-64)" fld="16" baseField="1" baseItem="0" numFmtId="3"/>
    <dataField name="Total Uninsured NonElderly Population (Ages 3-64)" fld="18" baseField="1" baseItem="0" numFmtId="3"/>
  </dataFields>
  <formats count="39">
    <format dxfId="273">
      <pivotArea dataOnly="0" labelOnly="1" outline="0" axis="axisValues" fieldPosition="0"/>
    </format>
    <format dxfId="272">
      <pivotArea type="all" dataOnly="0" outline="0" fieldPosition="0"/>
    </format>
    <format dxfId="271">
      <pivotArea outline="0" collapsedLevelsAreSubtotals="1" fieldPosition="0"/>
    </format>
    <format dxfId="270">
      <pivotArea dataOnly="0" labelOnly="1" outline="0" axis="axisValues" fieldPosition="0"/>
    </format>
    <format dxfId="269">
      <pivotArea outline="0" fieldPosition="0">
        <references count="1">
          <reference field="4294967294" count="1">
            <x v="2"/>
          </reference>
        </references>
      </pivotArea>
    </format>
    <format dxfId="268">
      <pivotArea outline="0" fieldPosition="0">
        <references count="1">
          <reference field="4294967294" count="1">
            <x v="3"/>
          </reference>
        </references>
      </pivotArea>
    </format>
    <format dxfId="267">
      <pivotArea dataOnly="0" labelOnly="1" outline="0" fieldPosition="0">
        <references count="1">
          <reference field="4294967294" count="3">
            <x v="0"/>
            <x v="2"/>
            <x v="3"/>
          </reference>
        </references>
      </pivotArea>
    </format>
    <format dxfId="266">
      <pivotArea dataOnly="0" labelOnly="1" outline="0" fieldPosition="0">
        <references count="1">
          <reference field="4294967294" count="3">
            <x v="0"/>
            <x v="2"/>
            <x v="3"/>
          </reference>
        </references>
      </pivotArea>
    </format>
    <format dxfId="265">
      <pivotArea dataOnly="0" labelOnly="1" outline="0" fieldPosition="0">
        <references count="1">
          <reference field="4294967294" count="3">
            <x v="0"/>
            <x v="2"/>
            <x v="3"/>
          </reference>
        </references>
      </pivotArea>
    </format>
    <format dxfId="264">
      <pivotArea field="0" type="button" dataOnly="0" labelOnly="1" outline="0" axis="axisRow" fieldPosition="1"/>
    </format>
    <format dxfId="263">
      <pivotArea dataOnly="0" labelOnly="1" outline="0" fieldPosition="0">
        <references count="1">
          <reference field="4294967294" count="3">
            <x v="0"/>
            <x v="2"/>
            <x v="3"/>
          </reference>
        </references>
      </pivotArea>
    </format>
    <format dxfId="262">
      <pivotArea dataOnly="0" fieldPosition="0">
        <references count="1">
          <reference field="1" count="0"/>
        </references>
      </pivotArea>
    </format>
    <format dxfId="261">
      <pivotArea collapsedLevelsAreSubtotals="1" fieldPosition="0">
        <references count="2">
          <reference field="0" count="4">
            <x v="25"/>
            <x v="31"/>
            <x v="50"/>
            <x v="91"/>
          </reference>
          <reference field="1" count="1" selected="0">
            <x v="0"/>
          </reference>
        </references>
      </pivotArea>
    </format>
    <format dxfId="260">
      <pivotArea dataOnly="0" labelOnly="1" fieldPosition="0">
        <references count="2">
          <reference field="0" count="4">
            <x v="25"/>
            <x v="31"/>
            <x v="50"/>
            <x v="91"/>
          </reference>
          <reference field="1" count="1" selected="0">
            <x v="0"/>
          </reference>
        </references>
      </pivotArea>
    </format>
    <format dxfId="259">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258">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257">
      <pivotArea collapsedLevelsAreSubtotals="1" fieldPosition="0">
        <references count="2">
          <reference field="0" count="4">
            <x v="29"/>
            <x v="33"/>
            <x v="78"/>
            <x v="84"/>
          </reference>
          <reference field="1" count="1" selected="0">
            <x v="2"/>
          </reference>
        </references>
      </pivotArea>
    </format>
    <format dxfId="256">
      <pivotArea dataOnly="0" labelOnly="1" fieldPosition="0">
        <references count="2">
          <reference field="0" count="4">
            <x v="29"/>
            <x v="33"/>
            <x v="78"/>
            <x v="84"/>
          </reference>
          <reference field="1" count="1" selected="0">
            <x v="2"/>
          </reference>
        </references>
      </pivotArea>
    </format>
    <format dxfId="255">
      <pivotArea collapsedLevelsAreSubtotals="1" fieldPosition="0">
        <references count="2">
          <reference field="0" count="12">
            <x v="8"/>
            <x v="23"/>
            <x v="30"/>
            <x v="32"/>
            <x v="39"/>
            <x v="53"/>
            <x v="63"/>
            <x v="77"/>
            <x v="81"/>
            <x v="82"/>
            <x v="95"/>
            <x v="97"/>
          </reference>
          <reference field="1" count="1" selected="0">
            <x v="3"/>
          </reference>
        </references>
      </pivotArea>
    </format>
    <format dxfId="254">
      <pivotArea dataOnly="0" labelOnly="1" fieldPosition="0">
        <references count="2">
          <reference field="0" count="12">
            <x v="8"/>
            <x v="23"/>
            <x v="30"/>
            <x v="32"/>
            <x v="39"/>
            <x v="53"/>
            <x v="63"/>
            <x v="77"/>
            <x v="81"/>
            <x v="82"/>
            <x v="95"/>
            <x v="97"/>
          </reference>
          <reference field="1" count="1" selected="0">
            <x v="3"/>
          </reference>
        </references>
      </pivotArea>
    </format>
    <format dxfId="253">
      <pivotArea collapsedLevelsAreSubtotals="1" fieldPosition="0">
        <references count="2">
          <reference field="0" count="8">
            <x v="11"/>
            <x v="17"/>
            <x v="22"/>
            <x v="35"/>
            <x v="48"/>
            <x v="54"/>
            <x v="85"/>
            <x v="98"/>
          </reference>
          <reference field="1" count="1" selected="0">
            <x v="4"/>
          </reference>
        </references>
      </pivotArea>
    </format>
    <format dxfId="252">
      <pivotArea dataOnly="0" labelOnly="1" fieldPosition="0">
        <references count="2">
          <reference field="0" count="8">
            <x v="11"/>
            <x v="17"/>
            <x v="22"/>
            <x v="35"/>
            <x v="48"/>
            <x v="54"/>
            <x v="85"/>
            <x v="98"/>
          </reference>
          <reference field="1" count="1" selected="0">
            <x v="4"/>
          </reference>
        </references>
      </pivotArea>
    </format>
    <format dxfId="251">
      <pivotArea collapsedLevelsAreSubtotals="1" fieldPosition="0">
        <references count="2">
          <reference field="0" count="9">
            <x v="3"/>
            <x v="40"/>
            <x v="42"/>
            <x v="46"/>
            <x v="52"/>
            <x v="61"/>
            <x v="62"/>
            <x v="75"/>
            <x v="76"/>
          </reference>
          <reference field="1" count="1" selected="0">
            <x v="5"/>
          </reference>
        </references>
      </pivotArea>
    </format>
    <format dxfId="250">
      <pivotArea dataOnly="0" labelOnly="1" fieldPosition="0">
        <references count="2">
          <reference field="0" count="9">
            <x v="3"/>
            <x v="40"/>
            <x v="42"/>
            <x v="46"/>
            <x v="52"/>
            <x v="61"/>
            <x v="62"/>
            <x v="75"/>
            <x v="76"/>
          </reference>
          <reference field="1" count="1" selected="0">
            <x v="5"/>
          </reference>
        </references>
      </pivotArea>
    </format>
    <format dxfId="249">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248">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247">
      <pivotArea dataOnly="0" labelOnly="1" outline="0" fieldPosition="0">
        <references count="1">
          <reference field="4294967294" count="1">
            <x v="1"/>
          </reference>
        </references>
      </pivotArea>
    </format>
    <format dxfId="246">
      <pivotArea dataOnly="0" labelOnly="1" outline="0" fieldPosition="0">
        <references count="1">
          <reference field="4294967294" count="1">
            <x v="1"/>
          </reference>
        </references>
      </pivotArea>
    </format>
    <format dxfId="245">
      <pivotArea dataOnly="0" labelOnly="1" outline="0" fieldPosition="0">
        <references count="1">
          <reference field="4294967294" count="1">
            <x v="1"/>
          </reference>
        </references>
      </pivotArea>
    </format>
    <format dxfId="244">
      <pivotArea outline="0" fieldPosition="0">
        <references count="1">
          <reference field="4294967294" count="1">
            <x v="1"/>
          </reference>
        </references>
      </pivotArea>
    </format>
    <format dxfId="243">
      <pivotArea dataOnly="0" labelOnly="1" outline="0" fieldPosition="0">
        <references count="1">
          <reference field="4294967294" count="1">
            <x v="1"/>
          </reference>
        </references>
      </pivotArea>
    </format>
    <format dxfId="242">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241">
      <pivotArea dataOnly="0" labelOnly="1" fieldPosition="0">
        <references count="2">
          <reference field="0" count="15">
            <x v="28"/>
            <x v="29"/>
            <x v="33"/>
            <x v="34"/>
            <x v="38"/>
            <x v="41"/>
            <x v="59"/>
            <x v="67"/>
            <x v="72"/>
            <x v="78"/>
            <x v="79"/>
            <x v="83"/>
            <x v="84"/>
            <x v="89"/>
            <x v="90"/>
          </reference>
          <reference field="1" count="1" selected="0">
            <x v="1"/>
          </reference>
        </references>
      </pivotArea>
    </format>
    <format dxfId="240">
      <pivotArea outline="0" collapsedLevelsAreSubtotals="1" fieldPosition="0"/>
    </format>
    <format dxfId="239">
      <pivotArea dataOnly="0" labelOnly="1" fieldPosition="0">
        <references count="1">
          <reference field="1" count="0"/>
        </references>
      </pivotArea>
    </format>
    <format dxfId="238">
      <pivotArea dataOnly="0" labelOnly="1" grandRow="1" outline="0" fieldPosition="0"/>
    </format>
    <format dxfId="237">
      <pivotArea dataOnly="0" labelOnly="1" fieldPosition="0">
        <references count="2">
          <reference field="0" count="50">
            <x v="0"/>
            <x v="3"/>
            <x v="8"/>
            <x v="11"/>
            <x v="12"/>
            <x v="16"/>
            <x v="17"/>
            <x v="18"/>
            <x v="22"/>
            <x v="23"/>
            <x v="25"/>
            <x v="28"/>
            <x v="29"/>
            <x v="30"/>
            <x v="31"/>
            <x v="32"/>
            <x v="33"/>
            <x v="34"/>
            <x v="35"/>
            <x v="38"/>
            <x v="39"/>
            <x v="40"/>
            <x v="41"/>
            <x v="42"/>
            <x v="46"/>
            <x v="48"/>
            <x v="50"/>
            <x v="52"/>
            <x v="53"/>
            <x v="54"/>
            <x v="59"/>
            <x v="61"/>
            <x v="63"/>
            <x v="67"/>
            <x v="72"/>
            <x v="77"/>
            <x v="78"/>
            <x v="79"/>
            <x v="81"/>
            <x v="82"/>
            <x v="83"/>
            <x v="84"/>
            <x v="85"/>
            <x v="89"/>
            <x v="90"/>
            <x v="91"/>
            <x v="92"/>
            <x v="95"/>
            <x v="97"/>
            <x v="98"/>
          </reference>
          <reference field="1" count="1" selected="0">
            <x v="0"/>
          </reference>
        </references>
      </pivotArea>
    </format>
    <format dxfId="236">
      <pivotArea dataOnly="0" labelOnly="1" fieldPosition="0">
        <references count="2">
          <reference field="0" count="50">
            <x v="1"/>
            <x v="2"/>
            <x v="4"/>
            <x v="5"/>
            <x v="6"/>
            <x v="7"/>
            <x v="9"/>
            <x v="10"/>
            <x v="13"/>
            <x v="14"/>
            <x v="15"/>
            <x v="19"/>
            <x v="20"/>
            <x v="21"/>
            <x v="24"/>
            <x v="26"/>
            <x v="27"/>
            <x v="36"/>
            <x v="37"/>
            <x v="43"/>
            <x v="44"/>
            <x v="45"/>
            <x v="47"/>
            <x v="49"/>
            <x v="51"/>
            <x v="55"/>
            <x v="56"/>
            <x v="57"/>
            <x v="58"/>
            <x v="60"/>
            <x v="62"/>
            <x v="64"/>
            <x v="65"/>
            <x v="66"/>
            <x v="68"/>
            <x v="69"/>
            <x v="70"/>
            <x v="71"/>
            <x v="73"/>
            <x v="74"/>
            <x v="75"/>
            <x v="76"/>
            <x v="80"/>
            <x v="86"/>
            <x v="87"/>
            <x v="88"/>
            <x v="93"/>
            <x v="94"/>
            <x v="96"/>
            <x v="99"/>
          </reference>
          <reference field="1" count="1" selected="0">
            <x v="5"/>
          </reference>
        </references>
      </pivotArea>
    </format>
    <format dxfId="235">
      <pivotArea dataOnly="0" fieldPosition="0">
        <references count="1">
          <reference field="0" count="23">
            <x v="1"/>
            <x v="2"/>
            <x v="4"/>
            <x v="5"/>
            <x v="10"/>
            <x v="13"/>
            <x v="19"/>
            <x v="21"/>
            <x v="37"/>
            <x v="43"/>
            <x v="44"/>
            <x v="49"/>
            <x v="55"/>
            <x v="56"/>
            <x v="58"/>
            <x v="60"/>
            <x v="74"/>
            <x v="80"/>
            <x v="86"/>
            <x v="87"/>
            <x v="94"/>
            <x v="96"/>
            <x v="9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2500-000000000000}" name="PivotTable1" cacheId="3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1">
    <format dxfId="234">
      <pivotArea dataOnly="0" labelOnly="1" outline="0" axis="axisValues" fieldPosition="0"/>
    </format>
    <format dxfId="233">
      <pivotArea type="all" dataOnly="0" outline="0" fieldPosition="0"/>
    </format>
    <format dxfId="232">
      <pivotArea outline="0" collapsedLevelsAreSubtotals="1" fieldPosition="0"/>
    </format>
    <format dxfId="231">
      <pivotArea dataOnly="0" labelOnly="1" outline="0" axis="axisValues" fieldPosition="0"/>
    </format>
    <format dxfId="230">
      <pivotArea outline="0" fieldPosition="0">
        <references count="1">
          <reference field="4294967294" count="1">
            <x v="2"/>
          </reference>
        </references>
      </pivotArea>
    </format>
    <format dxfId="229">
      <pivotArea outline="0" fieldPosition="0">
        <references count="1">
          <reference field="4294967294" count="1">
            <x v="4"/>
          </reference>
        </references>
      </pivotArea>
    </format>
    <format dxfId="228">
      <pivotArea dataOnly="0" labelOnly="1" outline="0" fieldPosition="0">
        <references count="1">
          <reference field="4294967294" count="3">
            <x v="0"/>
            <x v="2"/>
            <x v="4"/>
          </reference>
        </references>
      </pivotArea>
    </format>
    <format dxfId="227">
      <pivotArea dataOnly="0" labelOnly="1" outline="0" fieldPosition="0">
        <references count="1">
          <reference field="4294967294" count="3">
            <x v="0"/>
            <x v="2"/>
            <x v="4"/>
          </reference>
        </references>
      </pivotArea>
    </format>
    <format dxfId="226">
      <pivotArea dataOnly="0" labelOnly="1" outline="0" fieldPosition="0">
        <references count="1">
          <reference field="4294967294" count="3">
            <x v="0"/>
            <x v="2"/>
            <x v="4"/>
          </reference>
        </references>
      </pivotArea>
    </format>
    <format dxfId="225">
      <pivotArea field="0" type="button" dataOnly="0" labelOnly="1" outline="0" axis="axisRow" fieldPosition="1"/>
    </format>
    <format dxfId="224">
      <pivotArea dataOnly="0" labelOnly="1" outline="0" fieldPosition="0">
        <references count="1">
          <reference field="4294967294" count="3">
            <x v="0"/>
            <x v="2"/>
            <x v="4"/>
          </reference>
        </references>
      </pivotArea>
    </format>
    <format dxfId="223">
      <pivotArea dataOnly="0" fieldPosition="0">
        <references count="1">
          <reference field="1" count="0"/>
        </references>
      </pivotArea>
    </format>
    <format dxfId="222">
      <pivotArea collapsedLevelsAreSubtotals="1" fieldPosition="0">
        <references count="2">
          <reference field="0" count="4">
            <x v="25"/>
            <x v="31"/>
            <x v="50"/>
            <x v="91"/>
          </reference>
          <reference field="1" count="1" selected="0">
            <x v="0"/>
          </reference>
        </references>
      </pivotArea>
    </format>
    <format dxfId="221">
      <pivotArea dataOnly="0" labelOnly="1" fieldPosition="0">
        <references count="2">
          <reference field="0" count="4">
            <x v="25"/>
            <x v="31"/>
            <x v="50"/>
            <x v="91"/>
          </reference>
          <reference field="1" count="1" selected="0">
            <x v="0"/>
          </reference>
        </references>
      </pivotArea>
    </format>
    <format dxfId="220">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219">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218">
      <pivotArea collapsedLevelsAreSubtotals="1" fieldPosition="0">
        <references count="2">
          <reference field="0" count="4">
            <x v="29"/>
            <x v="33"/>
            <x v="78"/>
            <x v="84"/>
          </reference>
          <reference field="1" count="1" selected="0">
            <x v="2"/>
          </reference>
        </references>
      </pivotArea>
    </format>
    <format dxfId="217">
      <pivotArea dataOnly="0" labelOnly="1" fieldPosition="0">
        <references count="2">
          <reference field="0" count="4">
            <x v="29"/>
            <x v="33"/>
            <x v="78"/>
            <x v="84"/>
          </reference>
          <reference field="1" count="1" selected="0">
            <x v="2"/>
          </reference>
        </references>
      </pivotArea>
    </format>
    <format dxfId="216">
      <pivotArea collapsedLevelsAreSubtotals="1" fieldPosition="0">
        <references count="2">
          <reference field="0" count="12">
            <x v="8"/>
            <x v="23"/>
            <x v="30"/>
            <x v="32"/>
            <x v="39"/>
            <x v="53"/>
            <x v="63"/>
            <x v="77"/>
            <x v="81"/>
            <x v="82"/>
            <x v="95"/>
            <x v="97"/>
          </reference>
          <reference field="1" count="1" selected="0">
            <x v="3"/>
          </reference>
        </references>
      </pivotArea>
    </format>
    <format dxfId="215">
      <pivotArea dataOnly="0" labelOnly="1" fieldPosition="0">
        <references count="2">
          <reference field="0" count="12">
            <x v="8"/>
            <x v="23"/>
            <x v="30"/>
            <x v="32"/>
            <x v="39"/>
            <x v="53"/>
            <x v="63"/>
            <x v="77"/>
            <x v="81"/>
            <x v="82"/>
            <x v="95"/>
            <x v="97"/>
          </reference>
          <reference field="1" count="1" selected="0">
            <x v="3"/>
          </reference>
        </references>
      </pivotArea>
    </format>
    <format dxfId="214">
      <pivotArea collapsedLevelsAreSubtotals="1" fieldPosition="0">
        <references count="2">
          <reference field="0" count="8">
            <x v="11"/>
            <x v="17"/>
            <x v="22"/>
            <x v="35"/>
            <x v="48"/>
            <x v="54"/>
            <x v="85"/>
            <x v="98"/>
          </reference>
          <reference field="1" count="1" selected="0">
            <x v="4"/>
          </reference>
        </references>
      </pivotArea>
    </format>
    <format dxfId="213">
      <pivotArea dataOnly="0" labelOnly="1" fieldPosition="0">
        <references count="2">
          <reference field="0" count="8">
            <x v="11"/>
            <x v="17"/>
            <x v="22"/>
            <x v="35"/>
            <x v="48"/>
            <x v="54"/>
            <x v="85"/>
            <x v="98"/>
          </reference>
          <reference field="1" count="1" selected="0">
            <x v="4"/>
          </reference>
        </references>
      </pivotArea>
    </format>
    <format dxfId="212">
      <pivotArea collapsedLevelsAreSubtotals="1" fieldPosition="0">
        <references count="2">
          <reference field="0" count="9">
            <x v="3"/>
            <x v="40"/>
            <x v="42"/>
            <x v="46"/>
            <x v="52"/>
            <x v="61"/>
            <x v="62"/>
            <x v="75"/>
            <x v="76"/>
          </reference>
          <reference field="1" count="1" selected="0">
            <x v="5"/>
          </reference>
        </references>
      </pivotArea>
    </format>
    <format dxfId="211">
      <pivotArea dataOnly="0" labelOnly="1" fieldPosition="0">
        <references count="2">
          <reference field="0" count="9">
            <x v="3"/>
            <x v="40"/>
            <x v="42"/>
            <x v="46"/>
            <x v="52"/>
            <x v="61"/>
            <x v="62"/>
            <x v="75"/>
            <x v="76"/>
          </reference>
          <reference field="1" count="1" selected="0">
            <x v="5"/>
          </reference>
        </references>
      </pivotArea>
    </format>
    <format dxfId="210">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209">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208">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207">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206">
      <pivotArea dataOnly="0" labelOnly="1" outline="0" fieldPosition="0">
        <references count="1">
          <reference field="4294967294" count="1">
            <x v="1"/>
          </reference>
        </references>
      </pivotArea>
    </format>
    <format dxfId="205">
      <pivotArea dataOnly="0" labelOnly="1" outline="0" fieldPosition="0">
        <references count="1">
          <reference field="4294967294" count="1">
            <x v="1"/>
          </reference>
        </references>
      </pivotArea>
    </format>
    <format dxfId="204">
      <pivotArea dataOnly="0" labelOnly="1" outline="0" fieldPosition="0">
        <references count="1">
          <reference field="4294967294" count="1">
            <x v="1"/>
          </reference>
        </references>
      </pivotArea>
    </format>
    <format dxfId="203">
      <pivotArea outline="0" fieldPosition="0">
        <references count="1">
          <reference field="4294967294" count="1">
            <x v="1"/>
          </reference>
        </references>
      </pivotArea>
    </format>
    <format dxfId="202">
      <pivotArea dataOnly="0" labelOnly="1" outline="0" fieldPosition="0">
        <references count="1">
          <reference field="4294967294" count="1">
            <x v="1"/>
          </reference>
        </references>
      </pivotArea>
    </format>
    <format dxfId="201">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200">
      <pivotArea dataOnly="0" labelOnly="1" fieldPosition="0">
        <references count="2">
          <reference field="0" count="15">
            <x v="28"/>
            <x v="29"/>
            <x v="33"/>
            <x v="34"/>
            <x v="38"/>
            <x v="41"/>
            <x v="59"/>
            <x v="67"/>
            <x v="72"/>
            <x v="78"/>
            <x v="79"/>
            <x v="83"/>
            <x v="84"/>
            <x v="89"/>
            <x v="90"/>
          </reference>
          <reference field="1" count="1" selected="0">
            <x v="1"/>
          </reference>
        </references>
      </pivotArea>
    </format>
    <format dxfId="199">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198">
      <pivotArea outline="0" fieldPosition="0">
        <references count="1">
          <reference field="4294967294" count="1">
            <x v="3"/>
          </reference>
        </references>
      </pivotArea>
    </format>
    <format dxfId="197">
      <pivotArea dataOnly="0" labelOnly="1" outline="0" fieldPosition="0">
        <references count="1">
          <reference field="4294967294" count="1">
            <x v="3"/>
          </reference>
        </references>
      </pivotArea>
    </format>
    <format dxfId="196">
      <pivotArea dataOnly="0" labelOnly="1" outline="0" fieldPosition="0">
        <references count="1">
          <reference field="4294967294" count="1">
            <x v="3"/>
          </reference>
        </references>
      </pivotArea>
    </format>
    <format dxfId="195">
      <pivotArea dataOnly="0" labelOnly="1" outline="0" fieldPosition="0">
        <references count="1">
          <reference field="4294967294" count="1">
            <x v="3"/>
          </reference>
        </references>
      </pivotArea>
    </format>
    <format dxfId="194">
      <pivotArea dataOnly="0" labelOnly="1" outline="0" fieldPosition="0">
        <references count="1">
          <reference field="4294967294" count="1">
            <x v="3"/>
          </reference>
        </references>
      </pivotArea>
    </format>
    <format dxfId="193">
      <pivotArea outline="0" collapsedLevelsAreSubtotals="1" fieldPosition="0"/>
    </format>
    <format dxfId="192">
      <pivotArea dataOnly="0" labelOnly="1" fieldPosition="0">
        <references count="1">
          <reference field="1" count="0"/>
        </references>
      </pivotArea>
    </format>
    <format dxfId="191">
      <pivotArea dataOnly="0" labelOnly="1" grandRow="1" outline="0" fieldPosition="0"/>
    </format>
    <format dxfId="190">
      <pivotArea dataOnly="0" labelOnly="1" fieldPosition="0">
        <references count="2">
          <reference field="0" count="4">
            <x v="25"/>
            <x v="31"/>
            <x v="50"/>
            <x v="91"/>
          </reference>
          <reference field="1" count="1" selected="0">
            <x v="0"/>
          </reference>
        </references>
      </pivotArea>
    </format>
    <format dxfId="189">
      <pivotArea dataOnly="0" labelOnly="1" fieldPosition="0">
        <references count="2">
          <reference field="0" count="20">
            <x v="0"/>
            <x v="12"/>
            <x v="16"/>
            <x v="18"/>
            <x v="28"/>
            <x v="29"/>
            <x v="33"/>
            <x v="34"/>
            <x v="38"/>
            <x v="41"/>
            <x v="59"/>
            <x v="67"/>
            <x v="72"/>
            <x v="78"/>
            <x v="79"/>
            <x v="83"/>
            <x v="84"/>
            <x v="89"/>
            <x v="90"/>
            <x v="92"/>
          </reference>
          <reference field="1" count="1" selected="0">
            <x v="1"/>
          </reference>
        </references>
      </pivotArea>
    </format>
    <format dxfId="188">
      <pivotArea dataOnly="0" labelOnly="1" fieldPosition="0">
        <references count="2">
          <reference field="0" count="11">
            <x v="8"/>
            <x v="23"/>
            <x v="30"/>
            <x v="32"/>
            <x v="39"/>
            <x v="53"/>
            <x v="77"/>
            <x v="81"/>
            <x v="82"/>
            <x v="95"/>
            <x v="97"/>
          </reference>
          <reference field="1" count="1" selected="0">
            <x v="3"/>
          </reference>
        </references>
      </pivotArea>
    </format>
    <format dxfId="187">
      <pivotArea dataOnly="0" labelOnly="1" fieldPosition="0">
        <references count="2">
          <reference field="0" count="8">
            <x v="11"/>
            <x v="17"/>
            <x v="22"/>
            <x v="35"/>
            <x v="48"/>
            <x v="54"/>
            <x v="85"/>
            <x v="98"/>
          </reference>
          <reference field="1" count="1" selected="0">
            <x v="4"/>
          </reference>
        </references>
      </pivotArea>
    </format>
    <format dxfId="186">
      <pivotArea dataOnly="0" labelOnly="1" fieldPosition="0">
        <references count="2">
          <reference field="0" count="9">
            <x v="3"/>
            <x v="40"/>
            <x v="42"/>
            <x v="46"/>
            <x v="52"/>
            <x v="61"/>
            <x v="62"/>
            <x v="75"/>
            <x v="76"/>
          </reference>
          <reference field="1" count="1" selected="0">
            <x v="5"/>
          </reference>
        </references>
      </pivotArea>
    </format>
    <format dxfId="185">
      <pivotArea dataOnly="0" labelOnly="1" fieldPosition="0">
        <references count="2">
          <reference field="0" count="25">
            <x v="6"/>
            <x v="7"/>
            <x v="9"/>
            <x v="14"/>
            <x v="15"/>
            <x v="20"/>
            <x v="24"/>
            <x v="26"/>
            <x v="27"/>
            <x v="36"/>
            <x v="45"/>
            <x v="47"/>
            <x v="51"/>
            <x v="57"/>
            <x v="63"/>
            <x v="64"/>
            <x v="65"/>
            <x v="66"/>
            <x v="68"/>
            <x v="69"/>
            <x v="70"/>
            <x v="71"/>
            <x v="73"/>
            <x v="88"/>
            <x v="93"/>
          </reference>
          <reference field="1" count="1" selected="0">
            <x v="7"/>
          </reference>
        </references>
      </pivotArea>
    </format>
    <format dxfId="184">
      <pivotArea dataOnly="0" labelOnly="1"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2700-000000000000}" name="PivotTable1" cacheId="33"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3">
    <format dxfId="183">
      <pivotArea dataOnly="0" labelOnly="1" outline="0" axis="axisValues" fieldPosition="0"/>
    </format>
    <format dxfId="182">
      <pivotArea type="all" dataOnly="0" outline="0" fieldPosition="0"/>
    </format>
    <format dxfId="181">
      <pivotArea outline="0" collapsedLevelsAreSubtotals="1" fieldPosition="0"/>
    </format>
    <format dxfId="180">
      <pivotArea dataOnly="0" labelOnly="1" outline="0" axis="axisValues" fieldPosition="0"/>
    </format>
    <format dxfId="179">
      <pivotArea outline="0" fieldPosition="0">
        <references count="1">
          <reference field="4294967294" count="1">
            <x v="2"/>
          </reference>
        </references>
      </pivotArea>
    </format>
    <format dxfId="178">
      <pivotArea outline="0" fieldPosition="0">
        <references count="1">
          <reference field="4294967294" count="1">
            <x v="4"/>
          </reference>
        </references>
      </pivotArea>
    </format>
    <format dxfId="177">
      <pivotArea dataOnly="0" labelOnly="1" outline="0" fieldPosition="0">
        <references count="1">
          <reference field="4294967294" count="3">
            <x v="0"/>
            <x v="2"/>
            <x v="4"/>
          </reference>
        </references>
      </pivotArea>
    </format>
    <format dxfId="176">
      <pivotArea dataOnly="0" labelOnly="1" outline="0" fieldPosition="0">
        <references count="1">
          <reference field="4294967294" count="3">
            <x v="0"/>
            <x v="2"/>
            <x v="4"/>
          </reference>
        </references>
      </pivotArea>
    </format>
    <format dxfId="175">
      <pivotArea dataOnly="0" labelOnly="1" outline="0" fieldPosition="0">
        <references count="1">
          <reference field="4294967294" count="3">
            <x v="0"/>
            <x v="2"/>
            <x v="4"/>
          </reference>
        </references>
      </pivotArea>
    </format>
    <format dxfId="174">
      <pivotArea field="0" type="button" dataOnly="0" labelOnly="1" outline="0" axis="axisRow" fieldPosition="1"/>
    </format>
    <format dxfId="173">
      <pivotArea dataOnly="0" labelOnly="1" outline="0" fieldPosition="0">
        <references count="1">
          <reference field="4294967294" count="3">
            <x v="0"/>
            <x v="2"/>
            <x v="4"/>
          </reference>
        </references>
      </pivotArea>
    </format>
    <format dxfId="172">
      <pivotArea dataOnly="0" fieldPosition="0">
        <references count="1">
          <reference field="1" count="0"/>
        </references>
      </pivotArea>
    </format>
    <format dxfId="171">
      <pivotArea collapsedLevelsAreSubtotals="1" fieldPosition="0">
        <references count="2">
          <reference field="0" count="4">
            <x v="25"/>
            <x v="31"/>
            <x v="50"/>
            <x v="91"/>
          </reference>
          <reference field="1" count="1" selected="0">
            <x v="0"/>
          </reference>
        </references>
      </pivotArea>
    </format>
    <format dxfId="170">
      <pivotArea dataOnly="0" labelOnly="1" fieldPosition="0">
        <references count="2">
          <reference field="0" count="4">
            <x v="25"/>
            <x v="31"/>
            <x v="50"/>
            <x v="91"/>
          </reference>
          <reference field="1" count="1" selected="0">
            <x v="0"/>
          </reference>
        </references>
      </pivotArea>
    </format>
    <format dxfId="169">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168">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167">
      <pivotArea collapsedLevelsAreSubtotals="1" fieldPosition="0">
        <references count="2">
          <reference field="0" count="4">
            <x v="29"/>
            <x v="33"/>
            <x v="78"/>
            <x v="84"/>
          </reference>
          <reference field="1" count="1" selected="0">
            <x v="2"/>
          </reference>
        </references>
      </pivotArea>
    </format>
    <format dxfId="166">
      <pivotArea dataOnly="0" labelOnly="1" fieldPosition="0">
        <references count="2">
          <reference field="0" count="4">
            <x v="29"/>
            <x v="33"/>
            <x v="78"/>
            <x v="84"/>
          </reference>
          <reference field="1" count="1" selected="0">
            <x v="2"/>
          </reference>
        </references>
      </pivotArea>
    </format>
    <format dxfId="165">
      <pivotArea collapsedLevelsAreSubtotals="1" fieldPosition="0">
        <references count="2">
          <reference field="0" count="12">
            <x v="8"/>
            <x v="23"/>
            <x v="30"/>
            <x v="32"/>
            <x v="39"/>
            <x v="53"/>
            <x v="63"/>
            <x v="77"/>
            <x v="81"/>
            <x v="82"/>
            <x v="95"/>
            <x v="97"/>
          </reference>
          <reference field="1" count="1" selected="0">
            <x v="3"/>
          </reference>
        </references>
      </pivotArea>
    </format>
    <format dxfId="164">
      <pivotArea dataOnly="0" labelOnly="1" fieldPosition="0">
        <references count="2">
          <reference field="0" count="12">
            <x v="8"/>
            <x v="23"/>
            <x v="30"/>
            <x v="32"/>
            <x v="39"/>
            <x v="53"/>
            <x v="63"/>
            <x v="77"/>
            <x v="81"/>
            <x v="82"/>
            <x v="95"/>
            <x v="97"/>
          </reference>
          <reference field="1" count="1" selected="0">
            <x v="3"/>
          </reference>
        </references>
      </pivotArea>
    </format>
    <format dxfId="163">
      <pivotArea collapsedLevelsAreSubtotals="1" fieldPosition="0">
        <references count="2">
          <reference field="0" count="8">
            <x v="11"/>
            <x v="17"/>
            <x v="22"/>
            <x v="35"/>
            <x v="48"/>
            <x v="54"/>
            <x v="85"/>
            <x v="98"/>
          </reference>
          <reference field="1" count="1" selected="0">
            <x v="4"/>
          </reference>
        </references>
      </pivotArea>
    </format>
    <format dxfId="162">
      <pivotArea dataOnly="0" labelOnly="1" fieldPosition="0">
        <references count="2">
          <reference field="0" count="8">
            <x v="11"/>
            <x v="17"/>
            <x v="22"/>
            <x v="35"/>
            <x v="48"/>
            <x v="54"/>
            <x v="85"/>
            <x v="98"/>
          </reference>
          <reference field="1" count="1" selected="0">
            <x v="4"/>
          </reference>
        </references>
      </pivotArea>
    </format>
    <format dxfId="161">
      <pivotArea collapsedLevelsAreSubtotals="1" fieldPosition="0">
        <references count="2">
          <reference field="0" count="9">
            <x v="3"/>
            <x v="40"/>
            <x v="42"/>
            <x v="46"/>
            <x v="52"/>
            <x v="61"/>
            <x v="62"/>
            <x v="75"/>
            <x v="76"/>
          </reference>
          <reference field="1" count="1" selected="0">
            <x v="5"/>
          </reference>
        </references>
      </pivotArea>
    </format>
    <format dxfId="160">
      <pivotArea dataOnly="0" labelOnly="1" fieldPosition="0">
        <references count="2">
          <reference field="0" count="9">
            <x v="3"/>
            <x v="40"/>
            <x v="42"/>
            <x v="46"/>
            <x v="52"/>
            <x v="61"/>
            <x v="62"/>
            <x v="75"/>
            <x v="76"/>
          </reference>
          <reference field="1" count="1" selected="0">
            <x v="5"/>
          </reference>
        </references>
      </pivotArea>
    </format>
    <format dxfId="159">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158">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157">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156">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155">
      <pivotArea dataOnly="0" labelOnly="1" outline="0" fieldPosition="0">
        <references count="1">
          <reference field="4294967294" count="1">
            <x v="1"/>
          </reference>
        </references>
      </pivotArea>
    </format>
    <format dxfId="154">
      <pivotArea dataOnly="0" labelOnly="1" outline="0" fieldPosition="0">
        <references count="1">
          <reference field="4294967294" count="1">
            <x v="1"/>
          </reference>
        </references>
      </pivotArea>
    </format>
    <format dxfId="153">
      <pivotArea dataOnly="0" labelOnly="1" outline="0" fieldPosition="0">
        <references count="1">
          <reference field="4294967294" count="1">
            <x v="1"/>
          </reference>
        </references>
      </pivotArea>
    </format>
    <format dxfId="152">
      <pivotArea outline="0" fieldPosition="0">
        <references count="1">
          <reference field="4294967294" count="1">
            <x v="1"/>
          </reference>
        </references>
      </pivotArea>
    </format>
    <format dxfId="151">
      <pivotArea dataOnly="0" labelOnly="1" outline="0" fieldPosition="0">
        <references count="1">
          <reference field="4294967294" count="1">
            <x v="1"/>
          </reference>
        </references>
      </pivotArea>
    </format>
    <format dxfId="150">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149">
      <pivotArea dataOnly="0" labelOnly="1" fieldPosition="0">
        <references count="2">
          <reference field="0" count="15">
            <x v="28"/>
            <x v="29"/>
            <x v="33"/>
            <x v="34"/>
            <x v="38"/>
            <x v="41"/>
            <x v="59"/>
            <x v="67"/>
            <x v="72"/>
            <x v="78"/>
            <x v="79"/>
            <x v="83"/>
            <x v="84"/>
            <x v="89"/>
            <x v="90"/>
          </reference>
          <reference field="1" count="1" selected="0">
            <x v="1"/>
          </reference>
        </references>
      </pivotArea>
    </format>
    <format dxfId="148">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147">
      <pivotArea outline="0" fieldPosition="0">
        <references count="1">
          <reference field="4294967294" count="1">
            <x v="3"/>
          </reference>
        </references>
      </pivotArea>
    </format>
    <format dxfId="146">
      <pivotArea dataOnly="0" labelOnly="1" outline="0" fieldPosition="0">
        <references count="1">
          <reference field="4294967294" count="1">
            <x v="3"/>
          </reference>
        </references>
      </pivotArea>
    </format>
    <format dxfId="145">
      <pivotArea dataOnly="0" labelOnly="1" outline="0" fieldPosition="0">
        <references count="1">
          <reference field="4294967294" count="1">
            <x v="3"/>
          </reference>
        </references>
      </pivotArea>
    </format>
    <format dxfId="144">
      <pivotArea dataOnly="0" labelOnly="1" outline="0" fieldPosition="0">
        <references count="1">
          <reference field="4294967294" count="1">
            <x v="3"/>
          </reference>
        </references>
      </pivotArea>
    </format>
    <format dxfId="143">
      <pivotArea dataOnly="0" labelOnly="1" outline="0" fieldPosition="0">
        <references count="1">
          <reference field="4294967294" count="1">
            <x v="3"/>
          </reference>
        </references>
      </pivotArea>
    </format>
    <format dxfId="142">
      <pivotArea collapsedLevelsAreSubtotals="1" fieldPosition="0">
        <references count="2">
          <reference field="0" count="12">
            <x v="23"/>
            <x v="24"/>
            <x v="26"/>
            <x v="27"/>
            <x v="36"/>
            <x v="45"/>
            <x v="47"/>
            <x v="51"/>
            <x v="57"/>
            <x v="63"/>
            <x v="64"/>
            <x v="65"/>
          </reference>
          <reference field="1" count="1" selected="0">
            <x v="7"/>
          </reference>
        </references>
      </pivotArea>
    </format>
    <format dxfId="141">
      <pivotArea dataOnly="0" labelOnly="1" fieldPosition="0">
        <references count="2">
          <reference field="0" count="12">
            <x v="23"/>
            <x v="24"/>
            <x v="26"/>
            <x v="27"/>
            <x v="36"/>
            <x v="45"/>
            <x v="47"/>
            <x v="51"/>
            <x v="57"/>
            <x v="63"/>
            <x v="64"/>
            <x v="65"/>
          </reference>
          <reference field="1" count="1" selected="0">
            <x v="7"/>
          </reference>
        </references>
      </pivotArea>
    </format>
    <format dxfId="140">
      <pivotArea outline="0" collapsedLevelsAreSubtotals="1" fieldPosition="0"/>
    </format>
    <format dxfId="139">
      <pivotArea dataOnly="0" labelOnly="1" fieldPosition="0">
        <references count="1">
          <reference field="1" count="0"/>
        </references>
      </pivotArea>
    </format>
    <format dxfId="138">
      <pivotArea dataOnly="0" labelOnly="1" grandRow="1" outline="0" fieldPosition="0"/>
    </format>
    <format dxfId="137">
      <pivotArea dataOnly="0" labelOnly="1" fieldPosition="0">
        <references count="2">
          <reference field="0" count="4">
            <x v="25"/>
            <x v="31"/>
            <x v="50"/>
            <x v="91"/>
          </reference>
          <reference field="1" count="1" selected="0">
            <x v="0"/>
          </reference>
        </references>
      </pivotArea>
    </format>
    <format dxfId="136">
      <pivotArea dataOnly="0" labelOnly="1" fieldPosition="0">
        <references count="2">
          <reference field="0" count="20">
            <x v="0"/>
            <x v="12"/>
            <x v="16"/>
            <x v="18"/>
            <x v="28"/>
            <x v="29"/>
            <x v="33"/>
            <x v="34"/>
            <x v="38"/>
            <x v="41"/>
            <x v="59"/>
            <x v="67"/>
            <x v="72"/>
            <x v="78"/>
            <x v="79"/>
            <x v="83"/>
            <x v="84"/>
            <x v="89"/>
            <x v="90"/>
            <x v="92"/>
          </reference>
          <reference field="1" count="1" selected="0">
            <x v="1"/>
          </reference>
        </references>
      </pivotArea>
    </format>
    <format dxfId="135">
      <pivotArea dataOnly="0" labelOnly="1" fieldPosition="0">
        <references count="2">
          <reference field="0" count="10">
            <x v="8"/>
            <x v="30"/>
            <x v="32"/>
            <x v="39"/>
            <x v="53"/>
            <x v="77"/>
            <x v="81"/>
            <x v="82"/>
            <x v="95"/>
            <x v="97"/>
          </reference>
          <reference field="1" count="1" selected="0">
            <x v="3"/>
          </reference>
        </references>
      </pivotArea>
    </format>
    <format dxfId="134">
      <pivotArea dataOnly="0" labelOnly="1" fieldPosition="0">
        <references count="2">
          <reference field="0" count="8">
            <x v="11"/>
            <x v="17"/>
            <x v="22"/>
            <x v="35"/>
            <x v="48"/>
            <x v="54"/>
            <x v="85"/>
            <x v="98"/>
          </reference>
          <reference field="1" count="1" selected="0">
            <x v="4"/>
          </reference>
        </references>
      </pivotArea>
    </format>
    <format dxfId="133">
      <pivotArea dataOnly="0" labelOnly="1" fieldPosition="0">
        <references count="2">
          <reference field="0" count="9">
            <x v="3"/>
            <x v="40"/>
            <x v="42"/>
            <x v="46"/>
            <x v="52"/>
            <x v="61"/>
            <x v="62"/>
            <x v="75"/>
            <x v="76"/>
          </reference>
          <reference field="1" count="1" selected="0">
            <x v="5"/>
          </reference>
        </references>
      </pivotArea>
    </format>
    <format dxfId="132">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7"/>
          </reference>
        </references>
      </pivotArea>
    </format>
    <format dxfId="131">
      <pivotArea dataOnly="0" labelOnly="1"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B9CE9D-E15D-48AB-AAA9-66DBFF79ABC6}" name="PivotTable1" cacheId="32"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1">
        <item m="1" x="9"/>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4"/>
    </i>
    <i r="1">
      <x v="8"/>
    </i>
    <i r="1">
      <x v="30"/>
    </i>
    <i r="1">
      <x v="32"/>
    </i>
    <i r="1">
      <x v="39"/>
    </i>
    <i r="1">
      <x v="53"/>
    </i>
    <i r="1">
      <x v="77"/>
    </i>
    <i r="1">
      <x v="81"/>
    </i>
    <i r="1">
      <x v="82"/>
    </i>
    <i r="1">
      <x v="95"/>
    </i>
    <i r="1">
      <x v="97"/>
    </i>
    <i t="blank">
      <x v="4"/>
    </i>
    <i>
      <x v="5"/>
    </i>
    <i r="1">
      <x v="11"/>
    </i>
    <i r="1">
      <x v="17"/>
    </i>
    <i r="1">
      <x v="22"/>
    </i>
    <i r="1">
      <x v="35"/>
    </i>
    <i r="1">
      <x v="48"/>
    </i>
    <i r="1">
      <x v="54"/>
    </i>
    <i r="1">
      <x v="80"/>
    </i>
    <i r="1">
      <x v="85"/>
    </i>
    <i r="1">
      <x v="98"/>
    </i>
    <i t="blank">
      <x v="5"/>
    </i>
    <i>
      <x v="6"/>
    </i>
    <i r="1">
      <x v="3"/>
    </i>
    <i r="1">
      <x v="40"/>
    </i>
    <i r="1">
      <x v="42"/>
    </i>
    <i r="1">
      <x v="46"/>
    </i>
    <i r="1">
      <x v="52"/>
    </i>
    <i r="1">
      <x v="61"/>
    </i>
    <i r="1">
      <x v="62"/>
    </i>
    <i r="1">
      <x v="75"/>
    </i>
    <i r="1">
      <x v="76"/>
    </i>
    <i t="blank">
      <x v="6"/>
    </i>
    <i>
      <x v="8"/>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8"/>
    </i>
    <i>
      <x v="9"/>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9"/>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6">
    <format dxfId="130">
      <pivotArea dataOnly="0" labelOnly="1" outline="0" axis="axisValues" fieldPosition="0"/>
    </format>
    <format dxfId="129">
      <pivotArea type="all" dataOnly="0" outline="0" fieldPosition="0"/>
    </format>
    <format dxfId="128">
      <pivotArea outline="0" collapsedLevelsAreSubtotals="1" fieldPosition="0"/>
    </format>
    <format dxfId="127">
      <pivotArea dataOnly="0" labelOnly="1" outline="0" axis="axisValues" fieldPosition="0"/>
    </format>
    <format dxfId="126">
      <pivotArea outline="0" fieldPosition="0">
        <references count="1">
          <reference field="4294967294" count="1">
            <x v="2"/>
          </reference>
        </references>
      </pivotArea>
    </format>
    <format dxfId="125">
      <pivotArea outline="0" fieldPosition="0">
        <references count="1">
          <reference field="4294967294" count="1">
            <x v="4"/>
          </reference>
        </references>
      </pivotArea>
    </format>
    <format dxfId="124">
      <pivotArea dataOnly="0" labelOnly="1" outline="0" fieldPosition="0">
        <references count="1">
          <reference field="4294967294" count="3">
            <x v="0"/>
            <x v="2"/>
            <x v="4"/>
          </reference>
        </references>
      </pivotArea>
    </format>
    <format dxfId="123">
      <pivotArea dataOnly="0" labelOnly="1" outline="0" fieldPosition="0">
        <references count="1">
          <reference field="4294967294" count="3">
            <x v="0"/>
            <x v="2"/>
            <x v="4"/>
          </reference>
        </references>
      </pivotArea>
    </format>
    <format dxfId="122">
      <pivotArea dataOnly="0" labelOnly="1" outline="0" fieldPosition="0">
        <references count="1">
          <reference field="4294967294" count="3">
            <x v="0"/>
            <x v="2"/>
            <x v="4"/>
          </reference>
        </references>
      </pivotArea>
    </format>
    <format dxfId="121">
      <pivotArea field="0" type="button" dataOnly="0" labelOnly="1" outline="0" axis="axisRow" fieldPosition="1"/>
    </format>
    <format dxfId="120">
      <pivotArea dataOnly="0" labelOnly="1" outline="0" fieldPosition="0">
        <references count="1">
          <reference field="4294967294" count="3">
            <x v="0"/>
            <x v="2"/>
            <x v="4"/>
          </reference>
        </references>
      </pivotArea>
    </format>
    <format dxfId="119">
      <pivotArea dataOnly="0" fieldPosition="0">
        <references count="1">
          <reference field="1" count="0"/>
        </references>
      </pivotArea>
    </format>
    <format dxfId="118">
      <pivotArea collapsedLevelsAreSubtotals="1" fieldPosition="0">
        <references count="2">
          <reference field="0" count="4">
            <x v="25"/>
            <x v="31"/>
            <x v="50"/>
            <x v="91"/>
          </reference>
          <reference field="1" count="1" selected="0">
            <x v="0"/>
          </reference>
        </references>
      </pivotArea>
    </format>
    <format dxfId="117">
      <pivotArea dataOnly="0" labelOnly="1" fieldPosition="0">
        <references count="2">
          <reference field="0" count="4">
            <x v="25"/>
            <x v="31"/>
            <x v="50"/>
            <x v="91"/>
          </reference>
          <reference field="1" count="1" selected="0">
            <x v="0"/>
          </reference>
        </references>
      </pivotArea>
    </format>
    <format dxfId="116">
      <pivotArea collapsedLevelsAreSubtotals="1" fieldPosition="0">
        <references count="2">
          <reference field="0" count="16">
            <x v="0"/>
            <x v="12"/>
            <x v="16"/>
            <x v="18"/>
            <x v="28"/>
            <x v="34"/>
            <x v="38"/>
            <x v="41"/>
            <x v="59"/>
            <x v="67"/>
            <x v="72"/>
            <x v="79"/>
            <x v="83"/>
            <x v="89"/>
            <x v="90"/>
            <x v="92"/>
          </reference>
          <reference field="1" count="1" selected="0">
            <x v="2"/>
          </reference>
        </references>
      </pivotArea>
    </format>
    <format dxfId="115">
      <pivotArea dataOnly="0" labelOnly="1" fieldPosition="0">
        <references count="2">
          <reference field="0" count="16">
            <x v="0"/>
            <x v="12"/>
            <x v="16"/>
            <x v="18"/>
            <x v="28"/>
            <x v="34"/>
            <x v="38"/>
            <x v="41"/>
            <x v="59"/>
            <x v="67"/>
            <x v="72"/>
            <x v="79"/>
            <x v="83"/>
            <x v="89"/>
            <x v="90"/>
            <x v="92"/>
          </reference>
          <reference field="1" count="1" selected="0">
            <x v="2"/>
          </reference>
        </references>
      </pivotArea>
    </format>
    <format dxfId="114">
      <pivotArea collapsedLevelsAreSubtotals="1" fieldPosition="0">
        <references count="2">
          <reference field="0" count="4">
            <x v="29"/>
            <x v="33"/>
            <x v="78"/>
            <x v="84"/>
          </reference>
          <reference field="1" count="1" selected="0">
            <x v="3"/>
          </reference>
        </references>
      </pivotArea>
    </format>
    <format dxfId="113">
      <pivotArea dataOnly="0" labelOnly="1" fieldPosition="0">
        <references count="2">
          <reference field="0" count="4">
            <x v="29"/>
            <x v="33"/>
            <x v="78"/>
            <x v="84"/>
          </reference>
          <reference field="1" count="1" selected="0">
            <x v="3"/>
          </reference>
        </references>
      </pivotArea>
    </format>
    <format dxfId="112">
      <pivotArea collapsedLevelsAreSubtotals="1" fieldPosition="0">
        <references count="2">
          <reference field="0" count="12">
            <x v="8"/>
            <x v="23"/>
            <x v="30"/>
            <x v="32"/>
            <x v="39"/>
            <x v="53"/>
            <x v="63"/>
            <x v="77"/>
            <x v="81"/>
            <x v="82"/>
            <x v="95"/>
            <x v="97"/>
          </reference>
          <reference field="1" count="1" selected="0">
            <x v="4"/>
          </reference>
        </references>
      </pivotArea>
    </format>
    <format dxfId="111">
      <pivotArea dataOnly="0" labelOnly="1" fieldPosition="0">
        <references count="2">
          <reference field="0" count="12">
            <x v="8"/>
            <x v="23"/>
            <x v="30"/>
            <x v="32"/>
            <x v="39"/>
            <x v="53"/>
            <x v="63"/>
            <x v="77"/>
            <x v="81"/>
            <x v="82"/>
            <x v="95"/>
            <x v="97"/>
          </reference>
          <reference field="1" count="1" selected="0">
            <x v="4"/>
          </reference>
        </references>
      </pivotArea>
    </format>
    <format dxfId="110">
      <pivotArea collapsedLevelsAreSubtotals="1" fieldPosition="0">
        <references count="2">
          <reference field="0" count="8">
            <x v="11"/>
            <x v="17"/>
            <x v="22"/>
            <x v="35"/>
            <x v="48"/>
            <x v="54"/>
            <x v="85"/>
            <x v="98"/>
          </reference>
          <reference field="1" count="1" selected="0">
            <x v="5"/>
          </reference>
        </references>
      </pivotArea>
    </format>
    <format dxfId="109">
      <pivotArea dataOnly="0" labelOnly="1" fieldPosition="0">
        <references count="2">
          <reference field="0" count="8">
            <x v="11"/>
            <x v="17"/>
            <x v="22"/>
            <x v="35"/>
            <x v="48"/>
            <x v="54"/>
            <x v="85"/>
            <x v="98"/>
          </reference>
          <reference field="1" count="1" selected="0">
            <x v="5"/>
          </reference>
        </references>
      </pivotArea>
    </format>
    <format dxfId="108">
      <pivotArea collapsedLevelsAreSubtotals="1" fieldPosition="0">
        <references count="2">
          <reference field="0" count="9">
            <x v="3"/>
            <x v="40"/>
            <x v="42"/>
            <x v="46"/>
            <x v="52"/>
            <x v="61"/>
            <x v="62"/>
            <x v="75"/>
            <x v="76"/>
          </reference>
          <reference field="1" count="1" selected="0">
            <x v="6"/>
          </reference>
        </references>
      </pivotArea>
    </format>
    <format dxfId="107">
      <pivotArea dataOnly="0" labelOnly="1" fieldPosition="0">
        <references count="2">
          <reference field="0" count="9">
            <x v="3"/>
            <x v="40"/>
            <x v="42"/>
            <x v="46"/>
            <x v="52"/>
            <x v="61"/>
            <x v="62"/>
            <x v="75"/>
            <x v="76"/>
          </reference>
          <reference field="1" count="1" selected="0">
            <x v="6"/>
          </reference>
        </references>
      </pivotArea>
    </format>
    <format dxfId="106">
      <pivotArea collapsedLevelsAreSubtotals="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105">
      <pivotArea dataOnly="0" labelOnly="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104">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103">
      <pivotArea dataOnly="0" labelOnly="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102">
      <pivotArea dataOnly="0" labelOnly="1" outline="0" fieldPosition="0">
        <references count="1">
          <reference field="4294967294" count="1">
            <x v="1"/>
          </reference>
        </references>
      </pivotArea>
    </format>
    <format dxfId="101">
      <pivotArea dataOnly="0" labelOnly="1" outline="0" fieldPosition="0">
        <references count="1">
          <reference field="4294967294" count="1">
            <x v="1"/>
          </reference>
        </references>
      </pivotArea>
    </format>
    <format dxfId="100">
      <pivotArea dataOnly="0" labelOnly="1" outline="0" fieldPosition="0">
        <references count="1">
          <reference field="4294967294" count="1">
            <x v="1"/>
          </reference>
        </references>
      </pivotArea>
    </format>
    <format dxfId="99">
      <pivotArea outline="0" fieldPosition="0">
        <references count="1">
          <reference field="4294967294" count="1">
            <x v="1"/>
          </reference>
        </references>
      </pivotArea>
    </format>
    <format dxfId="98">
      <pivotArea dataOnly="0" labelOnly="1" outline="0" fieldPosition="0">
        <references count="1">
          <reference field="4294967294" count="1">
            <x v="1"/>
          </reference>
        </references>
      </pivotArea>
    </format>
    <format dxfId="97">
      <pivotArea collapsedLevelsAreSubtotals="1" fieldPosition="0">
        <references count="2">
          <reference field="0" count="15">
            <x v="28"/>
            <x v="29"/>
            <x v="33"/>
            <x v="34"/>
            <x v="38"/>
            <x v="41"/>
            <x v="59"/>
            <x v="67"/>
            <x v="72"/>
            <x v="78"/>
            <x v="79"/>
            <x v="83"/>
            <x v="84"/>
            <x v="89"/>
            <x v="90"/>
          </reference>
          <reference field="1" count="1" selected="0">
            <x v="2"/>
          </reference>
        </references>
      </pivotArea>
    </format>
    <format dxfId="96">
      <pivotArea dataOnly="0" labelOnly="1" fieldPosition="0">
        <references count="2">
          <reference field="0" count="15">
            <x v="28"/>
            <x v="29"/>
            <x v="33"/>
            <x v="34"/>
            <x v="38"/>
            <x v="41"/>
            <x v="59"/>
            <x v="67"/>
            <x v="72"/>
            <x v="78"/>
            <x v="79"/>
            <x v="83"/>
            <x v="84"/>
            <x v="89"/>
            <x v="90"/>
          </reference>
          <reference field="1" count="1" selected="0">
            <x v="2"/>
          </reference>
        </references>
      </pivotArea>
    </format>
    <format dxfId="95">
      <pivotArea dataOnly="0"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94">
      <pivotArea outline="0" fieldPosition="0">
        <references count="1">
          <reference field="4294967294" count="1">
            <x v="3"/>
          </reference>
        </references>
      </pivotArea>
    </format>
    <format dxfId="93">
      <pivotArea dataOnly="0" labelOnly="1" outline="0" fieldPosition="0">
        <references count="1">
          <reference field="4294967294" count="1">
            <x v="3"/>
          </reference>
        </references>
      </pivotArea>
    </format>
    <format dxfId="92">
      <pivotArea dataOnly="0" labelOnly="1" outline="0" fieldPosition="0">
        <references count="1">
          <reference field="4294967294" count="1">
            <x v="3"/>
          </reference>
        </references>
      </pivotArea>
    </format>
    <format dxfId="91">
      <pivotArea dataOnly="0" labelOnly="1" outline="0" fieldPosition="0">
        <references count="1">
          <reference field="4294967294" count="1">
            <x v="3"/>
          </reference>
        </references>
      </pivotArea>
    </format>
    <format dxfId="90">
      <pivotArea dataOnly="0" labelOnly="1" outline="0" fieldPosition="0">
        <references count="1">
          <reference field="4294967294" count="1">
            <x v="3"/>
          </reference>
        </references>
      </pivotArea>
    </format>
    <format dxfId="89">
      <pivotArea collapsedLevelsAreSubtotals="1" fieldPosition="0">
        <references count="2">
          <reference field="0" count="12">
            <x v="23"/>
            <x v="24"/>
            <x v="26"/>
            <x v="27"/>
            <x v="36"/>
            <x v="45"/>
            <x v="47"/>
            <x v="51"/>
            <x v="57"/>
            <x v="63"/>
            <x v="64"/>
            <x v="65"/>
          </reference>
          <reference field="1" count="1" selected="0">
            <x v="8"/>
          </reference>
        </references>
      </pivotArea>
    </format>
    <format dxfId="88">
      <pivotArea dataOnly="0" labelOnly="1" fieldPosition="0">
        <references count="2">
          <reference field="0" count="12">
            <x v="23"/>
            <x v="24"/>
            <x v="26"/>
            <x v="27"/>
            <x v="36"/>
            <x v="45"/>
            <x v="47"/>
            <x v="51"/>
            <x v="57"/>
            <x v="63"/>
            <x v="64"/>
            <x v="65"/>
          </reference>
          <reference field="1" count="1" selected="0">
            <x v="8"/>
          </reference>
        </references>
      </pivotArea>
    </format>
    <format dxfId="87">
      <pivotArea dataOnly="0" fieldPosition="0">
        <references count="1">
          <reference field="0" count="1">
            <x v="80"/>
          </reference>
        </references>
      </pivotArea>
    </format>
    <format dxfId="86">
      <pivotArea collapsedLevelsAreSubtotals="1" fieldPosition="0">
        <references count="2">
          <reference field="0" count="4">
            <x v="25"/>
            <x v="31"/>
            <x v="50"/>
            <x v="91"/>
          </reference>
          <reference field="1" count="1" selected="0">
            <x v="1"/>
          </reference>
        </references>
      </pivotArea>
    </format>
    <format dxfId="85">
      <pivotArea dataOnly="0" labelOnly="1" fieldPosition="0">
        <references count="2">
          <reference field="0" count="4">
            <x v="25"/>
            <x v="31"/>
            <x v="50"/>
            <x v="91"/>
          </reference>
          <reference field="1" count="1" selected="0">
            <x v="1"/>
          </reference>
        </references>
      </pivotArea>
    </format>
    <format dxfId="84">
      <pivotArea outline="0" collapsedLevelsAreSubtotals="1" fieldPosition="0"/>
    </format>
    <format dxfId="83">
      <pivotArea dataOnly="0" labelOnly="1" fieldPosition="0">
        <references count="1">
          <reference field="1" count="0"/>
        </references>
      </pivotArea>
    </format>
    <format dxfId="82">
      <pivotArea dataOnly="0" labelOnly="1" grandRow="1" outline="0" fieldPosition="0"/>
    </format>
    <format dxfId="81">
      <pivotArea dataOnly="0" labelOnly="1" fieldPosition="0">
        <references count="2">
          <reference field="0" count="4">
            <x v="25"/>
            <x v="31"/>
            <x v="50"/>
            <x v="91"/>
          </reference>
          <reference field="1" count="1" selected="0">
            <x v="1"/>
          </reference>
        </references>
      </pivotArea>
    </format>
    <format dxfId="80">
      <pivotArea dataOnly="0" labelOnly="1" fieldPosition="0">
        <references count="2">
          <reference field="0" count="20">
            <x v="0"/>
            <x v="12"/>
            <x v="16"/>
            <x v="18"/>
            <x v="28"/>
            <x v="29"/>
            <x v="33"/>
            <x v="34"/>
            <x v="38"/>
            <x v="41"/>
            <x v="59"/>
            <x v="67"/>
            <x v="72"/>
            <x v="78"/>
            <x v="79"/>
            <x v="83"/>
            <x v="84"/>
            <x v="89"/>
            <x v="90"/>
            <x v="92"/>
          </reference>
          <reference field="1" count="1" selected="0">
            <x v="2"/>
          </reference>
        </references>
      </pivotArea>
    </format>
    <format dxfId="79">
      <pivotArea dataOnly="0" labelOnly="1" fieldPosition="0">
        <references count="2">
          <reference field="0" count="10">
            <x v="8"/>
            <x v="30"/>
            <x v="32"/>
            <x v="39"/>
            <x v="53"/>
            <x v="77"/>
            <x v="81"/>
            <x v="82"/>
            <x v="95"/>
            <x v="97"/>
          </reference>
          <reference field="1" count="1" selected="0">
            <x v="4"/>
          </reference>
        </references>
      </pivotArea>
    </format>
    <format dxfId="78">
      <pivotArea dataOnly="0" labelOnly="1" fieldPosition="0">
        <references count="2">
          <reference field="0" count="9">
            <x v="11"/>
            <x v="17"/>
            <x v="22"/>
            <x v="35"/>
            <x v="48"/>
            <x v="54"/>
            <x v="80"/>
            <x v="85"/>
            <x v="98"/>
          </reference>
          <reference field="1" count="1" selected="0">
            <x v="5"/>
          </reference>
        </references>
      </pivotArea>
    </format>
    <format dxfId="77">
      <pivotArea dataOnly="0" labelOnly="1" fieldPosition="0">
        <references count="2">
          <reference field="0" count="9">
            <x v="3"/>
            <x v="40"/>
            <x v="42"/>
            <x v="46"/>
            <x v="52"/>
            <x v="61"/>
            <x v="62"/>
            <x v="75"/>
            <x v="76"/>
          </reference>
          <reference field="1" count="1" selected="0">
            <x v="6"/>
          </reference>
        </references>
      </pivotArea>
    </format>
    <format dxfId="76">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8"/>
          </reference>
        </references>
      </pivotArea>
    </format>
    <format dxfId="75">
      <pivotArea dataOnly="0" labelOnly="1" fieldPosition="0">
        <references count="2">
          <reference field="0" count="22">
            <x v="1"/>
            <x v="2"/>
            <x v="4"/>
            <x v="5"/>
            <x v="10"/>
            <x v="13"/>
            <x v="19"/>
            <x v="21"/>
            <x v="37"/>
            <x v="43"/>
            <x v="44"/>
            <x v="49"/>
            <x v="55"/>
            <x v="56"/>
            <x v="58"/>
            <x v="60"/>
            <x v="74"/>
            <x v="86"/>
            <x v="87"/>
            <x v="94"/>
            <x v="96"/>
            <x v="99"/>
          </reference>
          <reference field="1" count="1" selected="0">
            <x v="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EE3B3A9-A5E1-4371-BF14-9C36B92B47E1}" name="PivotTable1" cacheId="3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3">
        <item m="1" x="10"/>
        <item x="6"/>
        <item x="0"/>
        <item m="1" x="9"/>
        <item m="1" x="8"/>
        <item x="4"/>
        <item m="1" x="11"/>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5"/>
    </i>
    <i r="1">
      <x v="8"/>
    </i>
    <i r="1">
      <x v="30"/>
    </i>
    <i r="1">
      <x v="32"/>
    </i>
    <i r="1">
      <x v="39"/>
    </i>
    <i r="1">
      <x v="53"/>
    </i>
    <i r="1">
      <x v="77"/>
    </i>
    <i r="1">
      <x v="81"/>
    </i>
    <i r="1">
      <x v="82"/>
    </i>
    <i r="1">
      <x v="95"/>
    </i>
    <i r="1">
      <x v="97"/>
    </i>
    <i t="blank">
      <x v="5"/>
    </i>
    <i>
      <x v="7"/>
    </i>
    <i r="1">
      <x v="11"/>
    </i>
    <i r="1">
      <x v="17"/>
    </i>
    <i r="1">
      <x v="22"/>
    </i>
    <i r="1">
      <x v="35"/>
    </i>
    <i r="1">
      <x v="48"/>
    </i>
    <i r="1">
      <x v="54"/>
    </i>
    <i r="1">
      <x v="80"/>
    </i>
    <i r="1">
      <x v="85"/>
    </i>
    <i r="1">
      <x v="98"/>
    </i>
    <i t="blank">
      <x v="7"/>
    </i>
    <i>
      <x v="8"/>
    </i>
    <i r="1">
      <x v="3"/>
    </i>
    <i r="1">
      <x v="40"/>
    </i>
    <i r="1">
      <x v="42"/>
    </i>
    <i r="1">
      <x v="46"/>
    </i>
    <i r="1">
      <x v="52"/>
    </i>
    <i r="1">
      <x v="61"/>
    </i>
    <i r="1">
      <x v="62"/>
    </i>
    <i r="1">
      <x v="75"/>
    </i>
    <i r="1">
      <x v="76"/>
    </i>
    <i t="blank">
      <x v="8"/>
    </i>
    <i>
      <x v="10"/>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10"/>
    </i>
    <i>
      <x v="11"/>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11"/>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60">
    <format dxfId="74">
      <pivotArea dataOnly="0" labelOnly="1" outline="0" axis="axisValues" fieldPosition="0"/>
    </format>
    <format dxfId="73">
      <pivotArea type="all" dataOnly="0" outline="0" fieldPosition="0"/>
    </format>
    <format dxfId="72">
      <pivotArea outline="0" collapsedLevelsAreSubtotals="1" fieldPosition="0"/>
    </format>
    <format dxfId="71">
      <pivotArea dataOnly="0" labelOnly="1" outline="0" axis="axisValues" fieldPosition="0"/>
    </format>
    <format dxfId="70">
      <pivotArea outline="0" fieldPosition="0">
        <references count="1">
          <reference field="4294967294" count="1">
            <x v="2"/>
          </reference>
        </references>
      </pivotArea>
    </format>
    <format dxfId="69">
      <pivotArea outline="0" fieldPosition="0">
        <references count="1">
          <reference field="4294967294" count="1">
            <x v="4"/>
          </reference>
        </references>
      </pivotArea>
    </format>
    <format dxfId="68">
      <pivotArea dataOnly="0" labelOnly="1" outline="0" fieldPosition="0">
        <references count="1">
          <reference field="4294967294" count="3">
            <x v="0"/>
            <x v="2"/>
            <x v="4"/>
          </reference>
        </references>
      </pivotArea>
    </format>
    <format dxfId="67">
      <pivotArea dataOnly="0" labelOnly="1" outline="0" fieldPosition="0">
        <references count="1">
          <reference field="4294967294" count="3">
            <x v="0"/>
            <x v="2"/>
            <x v="4"/>
          </reference>
        </references>
      </pivotArea>
    </format>
    <format dxfId="66">
      <pivotArea dataOnly="0" labelOnly="1" outline="0" fieldPosition="0">
        <references count="1">
          <reference field="4294967294" count="3">
            <x v="0"/>
            <x v="2"/>
            <x v="4"/>
          </reference>
        </references>
      </pivotArea>
    </format>
    <format dxfId="65">
      <pivotArea field="0" type="button" dataOnly="0" labelOnly="1" outline="0" axis="axisRow" fieldPosition="1"/>
    </format>
    <format dxfId="64">
      <pivotArea dataOnly="0" labelOnly="1" outline="0" fieldPosition="0">
        <references count="1">
          <reference field="4294967294" count="3">
            <x v="0"/>
            <x v="2"/>
            <x v="4"/>
          </reference>
        </references>
      </pivotArea>
    </format>
    <format dxfId="63">
      <pivotArea dataOnly="0" fieldPosition="0">
        <references count="1">
          <reference field="1" count="0"/>
        </references>
      </pivotArea>
    </format>
    <format dxfId="62">
      <pivotArea collapsedLevelsAreSubtotals="1" fieldPosition="0">
        <references count="2">
          <reference field="0" count="4">
            <x v="25"/>
            <x v="31"/>
            <x v="50"/>
            <x v="91"/>
          </reference>
          <reference field="1" count="1" selected="0">
            <x v="0"/>
          </reference>
        </references>
      </pivotArea>
    </format>
    <format dxfId="61">
      <pivotArea dataOnly="0" labelOnly="1" fieldPosition="0">
        <references count="2">
          <reference field="0" count="4">
            <x v="25"/>
            <x v="31"/>
            <x v="50"/>
            <x v="91"/>
          </reference>
          <reference field="1" count="1" selected="0">
            <x v="0"/>
          </reference>
        </references>
      </pivotArea>
    </format>
    <format dxfId="60">
      <pivotArea collapsedLevelsAreSubtotals="1" fieldPosition="0">
        <references count="2">
          <reference field="0" count="16">
            <x v="0"/>
            <x v="12"/>
            <x v="16"/>
            <x v="18"/>
            <x v="28"/>
            <x v="34"/>
            <x v="38"/>
            <x v="41"/>
            <x v="59"/>
            <x v="67"/>
            <x v="72"/>
            <x v="79"/>
            <x v="83"/>
            <x v="89"/>
            <x v="90"/>
            <x v="92"/>
          </reference>
          <reference field="1" count="1" selected="0">
            <x v="3"/>
          </reference>
        </references>
      </pivotArea>
    </format>
    <format dxfId="59">
      <pivotArea dataOnly="0" labelOnly="1" fieldPosition="0">
        <references count="2">
          <reference field="0" count="16">
            <x v="0"/>
            <x v="12"/>
            <x v="16"/>
            <x v="18"/>
            <x v="28"/>
            <x v="34"/>
            <x v="38"/>
            <x v="41"/>
            <x v="59"/>
            <x v="67"/>
            <x v="72"/>
            <x v="79"/>
            <x v="83"/>
            <x v="89"/>
            <x v="90"/>
            <x v="92"/>
          </reference>
          <reference field="1" count="1" selected="0">
            <x v="3"/>
          </reference>
        </references>
      </pivotArea>
    </format>
    <format dxfId="58">
      <pivotArea collapsedLevelsAreSubtotals="1" fieldPosition="0">
        <references count="2">
          <reference field="0" count="4">
            <x v="29"/>
            <x v="33"/>
            <x v="78"/>
            <x v="84"/>
          </reference>
          <reference field="1" count="1" selected="0">
            <x v="4"/>
          </reference>
        </references>
      </pivotArea>
    </format>
    <format dxfId="57">
      <pivotArea dataOnly="0" labelOnly="1" fieldPosition="0">
        <references count="2">
          <reference field="0" count="4">
            <x v="29"/>
            <x v="33"/>
            <x v="78"/>
            <x v="84"/>
          </reference>
          <reference field="1" count="1" selected="0">
            <x v="4"/>
          </reference>
        </references>
      </pivotArea>
    </format>
    <format dxfId="56">
      <pivotArea collapsedLevelsAreSubtotals="1" fieldPosition="0">
        <references count="2">
          <reference field="0" count="12">
            <x v="8"/>
            <x v="23"/>
            <x v="30"/>
            <x v="32"/>
            <x v="39"/>
            <x v="53"/>
            <x v="63"/>
            <x v="77"/>
            <x v="81"/>
            <x v="82"/>
            <x v="95"/>
            <x v="97"/>
          </reference>
          <reference field="1" count="1" selected="0">
            <x v="5"/>
          </reference>
        </references>
      </pivotArea>
    </format>
    <format dxfId="55">
      <pivotArea dataOnly="0" labelOnly="1" fieldPosition="0">
        <references count="2">
          <reference field="0" count="12">
            <x v="8"/>
            <x v="23"/>
            <x v="30"/>
            <x v="32"/>
            <x v="39"/>
            <x v="53"/>
            <x v="63"/>
            <x v="77"/>
            <x v="81"/>
            <x v="82"/>
            <x v="95"/>
            <x v="97"/>
          </reference>
          <reference field="1" count="1" selected="0">
            <x v="5"/>
          </reference>
        </references>
      </pivotArea>
    </format>
    <format dxfId="54">
      <pivotArea collapsedLevelsAreSubtotals="1" fieldPosition="0">
        <references count="2">
          <reference field="0" count="8">
            <x v="11"/>
            <x v="17"/>
            <x v="22"/>
            <x v="35"/>
            <x v="48"/>
            <x v="54"/>
            <x v="85"/>
            <x v="98"/>
          </reference>
          <reference field="1" count="1" selected="0">
            <x v="6"/>
          </reference>
        </references>
      </pivotArea>
    </format>
    <format dxfId="53">
      <pivotArea dataOnly="0" labelOnly="1" fieldPosition="0">
        <references count="2">
          <reference field="0" count="8">
            <x v="11"/>
            <x v="17"/>
            <x v="22"/>
            <x v="35"/>
            <x v="48"/>
            <x v="54"/>
            <x v="85"/>
            <x v="98"/>
          </reference>
          <reference field="1" count="1" selected="0">
            <x v="6"/>
          </reference>
        </references>
      </pivotArea>
    </format>
    <format dxfId="52">
      <pivotArea collapsedLevelsAreSubtotals="1" fieldPosition="0">
        <references count="2">
          <reference field="0" count="9">
            <x v="3"/>
            <x v="40"/>
            <x v="42"/>
            <x v="46"/>
            <x v="52"/>
            <x v="61"/>
            <x v="62"/>
            <x v="75"/>
            <x v="76"/>
          </reference>
          <reference field="1" count="1" selected="0">
            <x v="8"/>
          </reference>
        </references>
      </pivotArea>
    </format>
    <format dxfId="51">
      <pivotArea dataOnly="0" labelOnly="1" fieldPosition="0">
        <references count="2">
          <reference field="0" count="9">
            <x v="3"/>
            <x v="40"/>
            <x v="42"/>
            <x v="46"/>
            <x v="52"/>
            <x v="61"/>
            <x v="62"/>
            <x v="75"/>
            <x v="76"/>
          </reference>
          <reference field="1" count="1" selected="0">
            <x v="8"/>
          </reference>
        </references>
      </pivotArea>
    </format>
    <format dxfId="50">
      <pivotArea collapsedLevelsAreSubtotals="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49">
      <pivotArea dataOnly="0" labelOnly="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48">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47">
      <pivotArea dataOnly="0" labelOnly="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46">
      <pivotArea dataOnly="0" labelOnly="1" outline="0" fieldPosition="0">
        <references count="1">
          <reference field="4294967294" count="1">
            <x v="1"/>
          </reference>
        </references>
      </pivotArea>
    </format>
    <format dxfId="45">
      <pivotArea dataOnly="0" labelOnly="1" outline="0" fieldPosition="0">
        <references count="1">
          <reference field="4294967294" count="1">
            <x v="1"/>
          </reference>
        </references>
      </pivotArea>
    </format>
    <format dxfId="44">
      <pivotArea dataOnly="0" labelOnly="1" outline="0" fieldPosition="0">
        <references count="1">
          <reference field="4294967294" count="1">
            <x v="1"/>
          </reference>
        </references>
      </pivotArea>
    </format>
    <format dxfId="43">
      <pivotArea outline="0" fieldPosition="0">
        <references count="1">
          <reference field="4294967294" count="1">
            <x v="1"/>
          </reference>
        </references>
      </pivotArea>
    </format>
    <format dxfId="42">
      <pivotArea dataOnly="0" labelOnly="1" outline="0" fieldPosition="0">
        <references count="1">
          <reference field="4294967294" count="1">
            <x v="1"/>
          </reference>
        </references>
      </pivotArea>
    </format>
    <format dxfId="41">
      <pivotArea collapsedLevelsAreSubtotals="1" fieldPosition="0">
        <references count="2">
          <reference field="0" count="15">
            <x v="28"/>
            <x v="29"/>
            <x v="33"/>
            <x v="34"/>
            <x v="38"/>
            <x v="41"/>
            <x v="59"/>
            <x v="67"/>
            <x v="72"/>
            <x v="78"/>
            <x v="79"/>
            <x v="83"/>
            <x v="84"/>
            <x v="89"/>
            <x v="90"/>
          </reference>
          <reference field="1" count="1" selected="0">
            <x v="3"/>
          </reference>
        </references>
      </pivotArea>
    </format>
    <format dxfId="40">
      <pivotArea dataOnly="0" labelOnly="1" fieldPosition="0">
        <references count="2">
          <reference field="0" count="15">
            <x v="28"/>
            <x v="29"/>
            <x v="33"/>
            <x v="34"/>
            <x v="38"/>
            <x v="41"/>
            <x v="59"/>
            <x v="67"/>
            <x v="72"/>
            <x v="78"/>
            <x v="79"/>
            <x v="83"/>
            <x v="84"/>
            <x v="89"/>
            <x v="90"/>
          </reference>
          <reference field="1" count="1" selected="0">
            <x v="3"/>
          </reference>
        </references>
      </pivotArea>
    </format>
    <format dxfId="39">
      <pivotArea dataOnly="0" fieldPosition="0">
        <references count="2">
          <reference field="0" count="23">
            <x v="1"/>
            <x v="2"/>
            <x v="4"/>
            <x v="5"/>
            <x v="10"/>
            <x v="13"/>
            <x v="19"/>
            <x v="21"/>
            <x v="37"/>
            <x v="43"/>
            <x v="44"/>
            <x v="49"/>
            <x v="55"/>
            <x v="56"/>
            <x v="58"/>
            <x v="60"/>
            <x v="74"/>
            <x v="80"/>
            <x v="86"/>
            <x v="87"/>
            <x v="94"/>
            <x v="96"/>
            <x v="99"/>
          </reference>
          <reference field="1" count="1" selected="0">
            <x v="11"/>
          </reference>
        </references>
      </pivotArea>
    </format>
    <format dxfId="38">
      <pivotArea outline="0" fieldPosition="0">
        <references count="1">
          <reference field="4294967294" count="1">
            <x v="3"/>
          </reference>
        </references>
      </pivotArea>
    </format>
    <format dxfId="37">
      <pivotArea dataOnly="0" labelOnly="1" outline="0" fieldPosition="0">
        <references count="1">
          <reference field="4294967294" count="1">
            <x v="3"/>
          </reference>
        </references>
      </pivotArea>
    </format>
    <format dxfId="36">
      <pivotArea dataOnly="0" labelOnly="1" outline="0" fieldPosition="0">
        <references count="1">
          <reference field="4294967294" count="1">
            <x v="3"/>
          </reference>
        </references>
      </pivotArea>
    </format>
    <format dxfId="35">
      <pivotArea dataOnly="0" labelOnly="1" outline="0" fieldPosition="0">
        <references count="1">
          <reference field="4294967294" count="1">
            <x v="3"/>
          </reference>
        </references>
      </pivotArea>
    </format>
    <format dxfId="34">
      <pivotArea dataOnly="0" labelOnly="1" outline="0" fieldPosition="0">
        <references count="1">
          <reference field="4294967294" count="1">
            <x v="3"/>
          </reference>
        </references>
      </pivotArea>
    </format>
    <format dxfId="33">
      <pivotArea collapsedLevelsAreSubtotals="1" fieldPosition="0">
        <references count="2">
          <reference field="0" count="12">
            <x v="23"/>
            <x v="24"/>
            <x v="26"/>
            <x v="27"/>
            <x v="36"/>
            <x v="45"/>
            <x v="47"/>
            <x v="51"/>
            <x v="57"/>
            <x v="63"/>
            <x v="64"/>
            <x v="65"/>
          </reference>
          <reference field="1" count="1" selected="0">
            <x v="10"/>
          </reference>
        </references>
      </pivotArea>
    </format>
    <format dxfId="32">
      <pivotArea dataOnly="0" labelOnly="1" fieldPosition="0">
        <references count="2">
          <reference field="0" count="12">
            <x v="23"/>
            <x v="24"/>
            <x v="26"/>
            <x v="27"/>
            <x v="36"/>
            <x v="45"/>
            <x v="47"/>
            <x v="51"/>
            <x v="57"/>
            <x v="63"/>
            <x v="64"/>
            <x v="65"/>
          </reference>
          <reference field="1" count="1" selected="0">
            <x v="10"/>
          </reference>
        </references>
      </pivotArea>
    </format>
    <format dxfId="31">
      <pivotArea dataOnly="0" fieldPosition="0">
        <references count="1">
          <reference field="0" count="1">
            <x v="80"/>
          </reference>
        </references>
      </pivotArea>
    </format>
    <format dxfId="30">
      <pivotArea collapsedLevelsAreSubtotals="1" fieldPosition="0">
        <references count="2">
          <reference field="0" count="4">
            <x v="25"/>
            <x v="31"/>
            <x v="50"/>
            <x v="91"/>
          </reference>
          <reference field="1" count="1" selected="0">
            <x v="1"/>
          </reference>
        </references>
      </pivotArea>
    </format>
    <format dxfId="29">
      <pivotArea dataOnly="0" labelOnly="1" fieldPosition="0">
        <references count="2">
          <reference field="0" count="4">
            <x v="25"/>
            <x v="31"/>
            <x v="50"/>
            <x v="91"/>
          </reference>
          <reference field="1" count="1" selected="0">
            <x v="1"/>
          </reference>
        </references>
      </pivotArea>
    </format>
    <format dxfId="28">
      <pivotArea outline="0" collapsedLevelsAreSubtotals="1" fieldPosition="0"/>
    </format>
    <format dxfId="27">
      <pivotArea dataOnly="0" labelOnly="1" fieldPosition="0">
        <references count="1">
          <reference field="1" count="0"/>
        </references>
      </pivotArea>
    </format>
    <format dxfId="26">
      <pivotArea dataOnly="0" labelOnly="1" grandRow="1" outline="0" fieldPosition="0"/>
    </format>
    <format dxfId="25">
      <pivotArea dataOnly="0" labelOnly="1" fieldPosition="0">
        <references count="2">
          <reference field="0" count="4">
            <x v="25"/>
            <x v="31"/>
            <x v="50"/>
            <x v="91"/>
          </reference>
          <reference field="1" count="1" selected="0">
            <x v="1"/>
          </reference>
        </references>
      </pivotArea>
    </format>
    <format dxfId="24">
      <pivotArea dataOnly="0" labelOnly="1" fieldPosition="0">
        <references count="2">
          <reference field="0" count="20">
            <x v="0"/>
            <x v="12"/>
            <x v="16"/>
            <x v="18"/>
            <x v="28"/>
            <x v="29"/>
            <x v="33"/>
            <x v="34"/>
            <x v="38"/>
            <x v="41"/>
            <x v="59"/>
            <x v="67"/>
            <x v="72"/>
            <x v="78"/>
            <x v="79"/>
            <x v="83"/>
            <x v="84"/>
            <x v="89"/>
            <x v="90"/>
            <x v="92"/>
          </reference>
          <reference field="1" count="1" selected="0">
            <x v="3"/>
          </reference>
        </references>
      </pivotArea>
    </format>
    <format dxfId="23">
      <pivotArea dataOnly="0" labelOnly="1" fieldPosition="0">
        <references count="2">
          <reference field="0" count="10">
            <x v="8"/>
            <x v="30"/>
            <x v="32"/>
            <x v="39"/>
            <x v="53"/>
            <x v="77"/>
            <x v="81"/>
            <x v="82"/>
            <x v="95"/>
            <x v="97"/>
          </reference>
          <reference field="1" count="1" selected="0">
            <x v="5"/>
          </reference>
        </references>
      </pivotArea>
    </format>
    <format dxfId="22">
      <pivotArea dataOnly="0" labelOnly="1" fieldPosition="0">
        <references count="2">
          <reference field="0" count="9">
            <x v="11"/>
            <x v="17"/>
            <x v="22"/>
            <x v="35"/>
            <x v="48"/>
            <x v="54"/>
            <x v="80"/>
            <x v="85"/>
            <x v="98"/>
          </reference>
          <reference field="1" count="1" selected="0">
            <x v="6"/>
          </reference>
        </references>
      </pivotArea>
    </format>
    <format dxfId="21">
      <pivotArea dataOnly="0" labelOnly="1" fieldPosition="0">
        <references count="2">
          <reference field="0" count="9">
            <x v="3"/>
            <x v="40"/>
            <x v="42"/>
            <x v="46"/>
            <x v="52"/>
            <x v="61"/>
            <x v="62"/>
            <x v="75"/>
            <x v="76"/>
          </reference>
          <reference field="1" count="1" selected="0">
            <x v="8"/>
          </reference>
        </references>
      </pivotArea>
    </format>
    <format dxfId="20">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10"/>
          </reference>
        </references>
      </pivotArea>
    </format>
    <format dxfId="19">
      <pivotArea dataOnly="0" labelOnly="1" fieldPosition="0">
        <references count="2">
          <reference field="0" count="22">
            <x v="1"/>
            <x v="2"/>
            <x v="4"/>
            <x v="5"/>
            <x v="10"/>
            <x v="13"/>
            <x v="19"/>
            <x v="21"/>
            <x v="37"/>
            <x v="43"/>
            <x v="44"/>
            <x v="49"/>
            <x v="55"/>
            <x v="56"/>
            <x v="58"/>
            <x v="60"/>
            <x v="74"/>
            <x v="86"/>
            <x v="87"/>
            <x v="94"/>
            <x v="96"/>
            <x v="99"/>
          </reference>
          <reference field="1" count="1" selected="0">
            <x v="11"/>
          </reference>
        </references>
      </pivotArea>
    </format>
    <format dxfId="18">
      <pivotArea collapsedLevelsAreSubtotals="1" fieldPosition="0">
        <references count="2">
          <reference field="0" count="20">
            <x v="0"/>
            <x v="12"/>
            <x v="16"/>
            <x v="18"/>
            <x v="28"/>
            <x v="29"/>
            <x v="33"/>
            <x v="34"/>
            <x v="38"/>
            <x v="41"/>
            <x v="59"/>
            <x v="67"/>
            <x v="72"/>
            <x v="78"/>
            <x v="79"/>
            <x v="83"/>
            <x v="84"/>
            <x v="89"/>
            <x v="90"/>
            <x v="92"/>
          </reference>
          <reference field="1" count="1" selected="0">
            <x v="2"/>
          </reference>
        </references>
      </pivotArea>
    </format>
    <format dxfId="17">
      <pivotArea dataOnly="0" labelOnly="1" fieldPosition="0">
        <references count="2">
          <reference field="0" count="20">
            <x v="0"/>
            <x v="12"/>
            <x v="16"/>
            <x v="18"/>
            <x v="28"/>
            <x v="29"/>
            <x v="33"/>
            <x v="34"/>
            <x v="38"/>
            <x v="41"/>
            <x v="59"/>
            <x v="67"/>
            <x v="72"/>
            <x v="78"/>
            <x v="79"/>
            <x v="83"/>
            <x v="84"/>
            <x v="89"/>
            <x v="90"/>
            <x v="92"/>
          </reference>
          <reference field="1" count="1" selected="0">
            <x v="2"/>
          </reference>
        </references>
      </pivotArea>
    </format>
    <format dxfId="16">
      <pivotArea collapsedLevelsAreSubtotals="1" fieldPosition="0">
        <references count="2">
          <reference field="0" count="9">
            <x v="11"/>
            <x v="17"/>
            <x v="22"/>
            <x v="35"/>
            <x v="48"/>
            <x v="54"/>
            <x v="80"/>
            <x v="85"/>
            <x v="98"/>
          </reference>
          <reference field="1" count="1" selected="0">
            <x v="7"/>
          </reference>
        </references>
      </pivotArea>
    </format>
    <format dxfId="15">
      <pivotArea dataOnly="0" labelOnly="1" fieldPosition="0">
        <references count="2">
          <reference field="0" count="9">
            <x v="11"/>
            <x v="17"/>
            <x v="22"/>
            <x v="35"/>
            <x v="48"/>
            <x v="54"/>
            <x v="80"/>
            <x v="85"/>
            <x v="98"/>
          </reference>
          <reference field="1" count="1" selected="0">
            <x v="7"/>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xml"/><Relationship Id="rId1" Type="http://schemas.openxmlformats.org/officeDocument/2006/relationships/printerSettings" Target="../printerSettings/printerSettings31.bin"/><Relationship Id="rId4" Type="http://schemas.openxmlformats.org/officeDocument/2006/relationships/comments" Target="../comments1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xml"/><Relationship Id="rId1" Type="http://schemas.openxmlformats.org/officeDocument/2006/relationships/printerSettings" Target="../printerSettings/printerSettings32.bin"/><Relationship Id="rId4" Type="http://schemas.openxmlformats.org/officeDocument/2006/relationships/comments" Target="../comments2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ivotTable" Target="../pivotTables/pivotTable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6.bin"/><Relationship Id="rId1" Type="http://schemas.openxmlformats.org/officeDocument/2006/relationships/pivotTable" Target="../pivotTables/pivotTable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8.bin"/><Relationship Id="rId1" Type="http://schemas.openxmlformats.org/officeDocument/2006/relationships/pivotTable" Target="../pivotTables/pivotTable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0.bin"/><Relationship Id="rId1" Type="http://schemas.openxmlformats.org/officeDocument/2006/relationships/pivotTable" Target="../pivotTables/pivotTable4.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7.xml"/><Relationship Id="rId1" Type="http://schemas.openxmlformats.org/officeDocument/2006/relationships/printerSettings" Target="../printerSettings/printerSettings41.bin"/><Relationship Id="rId4" Type="http://schemas.openxmlformats.org/officeDocument/2006/relationships/comments" Target="../comments21.x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ivotTable" Target="../pivotTables/pivotTable5.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5"/>
  <sheetViews>
    <sheetView showGridLines="0" tabSelected="1" zoomScaleNormal="100" zoomScaleSheetLayoutView="100" workbookViewId="0">
      <selection activeCell="E7" sqref="E7:I7"/>
    </sheetView>
  </sheetViews>
  <sheetFormatPr defaultRowHeight="12.75"/>
  <cols>
    <col min="1" max="6" width="13.7109375" style="11" customWidth="1"/>
    <col min="7" max="7" width="2.7109375" style="11" customWidth="1"/>
    <col min="8" max="14" width="13.7109375" style="11" customWidth="1"/>
    <col min="15" max="16384" width="9.140625" style="11"/>
  </cols>
  <sheetData>
    <row r="1" spans="1:14" s="6" customFormat="1" ht="24.75" customHeight="1">
      <c r="A1" s="28" t="s">
        <v>12</v>
      </c>
      <c r="B1" s="16"/>
      <c r="C1" s="15"/>
      <c r="D1" s="15"/>
      <c r="E1" s="15"/>
      <c r="F1" s="15"/>
      <c r="G1" s="15"/>
      <c r="H1" s="15"/>
      <c r="I1" s="15"/>
      <c r="J1" s="15"/>
      <c r="K1" s="15"/>
      <c r="L1" s="15"/>
      <c r="M1" s="15"/>
      <c r="N1" s="15"/>
    </row>
    <row r="2" spans="1:14" s="6" customFormat="1" ht="24.75" customHeight="1">
      <c r="A2" s="18" t="s">
        <v>187</v>
      </c>
      <c r="B2" s="17"/>
      <c r="C2" s="15"/>
      <c r="D2" s="15"/>
      <c r="E2" s="15"/>
      <c r="F2" s="15"/>
      <c r="G2" s="15"/>
      <c r="H2" s="15"/>
      <c r="I2" s="15"/>
      <c r="J2" s="15"/>
      <c r="K2" s="15"/>
      <c r="L2" s="15"/>
      <c r="M2" s="15"/>
      <c r="N2" s="15"/>
    </row>
    <row r="3" spans="1:14" s="6" customFormat="1" ht="24.75" customHeight="1">
      <c r="A3" s="20"/>
      <c r="C3" s="14"/>
      <c r="E3" s="19" t="s">
        <v>185</v>
      </c>
      <c r="F3" s="437">
        <v>2021</v>
      </c>
      <c r="G3" s="438"/>
      <c r="H3" s="439"/>
      <c r="I3" s="21" t="str">
        <f>IF(F3="","&lt;--- Enter State Fiscal Year (YYYY)","")</f>
        <v/>
      </c>
      <c r="J3" s="7"/>
      <c r="K3" s="7"/>
      <c r="L3" s="7"/>
      <c r="M3" s="7"/>
      <c r="N3" s="7"/>
    </row>
    <row r="4" spans="1:14" s="6" customFormat="1" ht="24.75" customHeight="1">
      <c r="A4" s="20"/>
      <c r="C4" s="14"/>
      <c r="E4" s="19" t="s">
        <v>186</v>
      </c>
      <c r="F4" s="437" t="s">
        <v>369</v>
      </c>
      <c r="G4" s="438"/>
      <c r="H4" s="439"/>
      <c r="I4" s="21" t="str">
        <f>IF(F4="","&lt;--- Enter Report Quarter","")</f>
        <v/>
      </c>
      <c r="J4" s="7"/>
      <c r="K4" s="7"/>
      <c r="L4" s="7"/>
      <c r="M4" s="7"/>
      <c r="N4" s="7"/>
    </row>
    <row r="5" spans="1:14" s="6" customFormat="1" ht="24.75" customHeight="1">
      <c r="B5" s="14"/>
      <c r="C5" s="14"/>
      <c r="D5" s="14"/>
      <c r="E5" s="14"/>
      <c r="F5" s="14"/>
      <c r="H5" s="14"/>
      <c r="I5" s="7"/>
      <c r="J5" s="7"/>
      <c r="K5" s="7"/>
      <c r="L5" s="7"/>
      <c r="M5" s="7"/>
      <c r="N5" s="7"/>
    </row>
    <row r="6" spans="1:14" s="6" customFormat="1" ht="24.75" customHeight="1">
      <c r="B6" s="17"/>
      <c r="C6" s="26"/>
      <c r="D6" s="26"/>
      <c r="E6" s="25" t="s">
        <v>1</v>
      </c>
      <c r="F6" s="26"/>
      <c r="G6" s="17"/>
      <c r="H6" s="26"/>
      <c r="I6" s="26"/>
      <c r="J6" s="10"/>
      <c r="K6" s="27"/>
      <c r="L6" s="26"/>
      <c r="M6" s="27"/>
      <c r="N6" s="27"/>
    </row>
    <row r="7" spans="1:14" s="6" customFormat="1" ht="30" customHeight="1">
      <c r="A7" s="5"/>
      <c r="B7" s="7"/>
      <c r="D7" s="24" t="s">
        <v>2</v>
      </c>
      <c r="E7" s="440"/>
      <c r="F7" s="441"/>
      <c r="G7" s="441"/>
      <c r="H7" s="441"/>
      <c r="I7" s="442"/>
      <c r="J7" s="21" t="str">
        <f>IF(E7="","&lt;--- Enter Name of LME-MCO for the SFY and Report Quarter","")</f>
        <v>&lt;--- Enter Name of LME-MCO for the SFY and Report Quarter</v>
      </c>
      <c r="K7" s="10"/>
      <c r="L7" s="7"/>
      <c r="M7" s="2"/>
      <c r="N7" s="10"/>
    </row>
    <row r="8" spans="1:14" s="6" customFormat="1" ht="30" customHeight="1">
      <c r="A8" s="5"/>
      <c r="B8" s="7"/>
      <c r="D8" s="24" t="s">
        <v>9</v>
      </c>
      <c r="E8" s="29" t="s">
        <v>10</v>
      </c>
      <c r="F8" s="15"/>
      <c r="G8" s="15"/>
      <c r="H8" s="27"/>
      <c r="I8" s="15"/>
      <c r="J8" s="2"/>
      <c r="K8" s="10"/>
      <c r="L8" s="7"/>
      <c r="M8" s="2"/>
      <c r="N8" s="10"/>
    </row>
    <row r="9" spans="1:14" s="6" customFormat="1" ht="30" customHeight="1">
      <c r="A9" s="5"/>
      <c r="B9" s="7"/>
      <c r="D9" s="24" t="s">
        <v>20</v>
      </c>
      <c r="E9" s="431"/>
      <c r="F9" s="432"/>
      <c r="G9" s="432"/>
      <c r="H9" s="432"/>
      <c r="I9" s="433"/>
      <c r="J9" s="21" t="str">
        <f>IF(E9="","&lt;--- Enter Name of CEO","")</f>
        <v>&lt;--- Enter Name of CEO</v>
      </c>
      <c r="K9" s="10"/>
      <c r="L9" s="10"/>
      <c r="M9" s="10"/>
      <c r="N9" s="10"/>
    </row>
    <row r="10" spans="1:14" s="6" customFormat="1" ht="30" customHeight="1">
      <c r="A10" s="5"/>
      <c r="B10" s="7"/>
      <c r="D10" s="24" t="s">
        <v>21</v>
      </c>
      <c r="E10" s="431"/>
      <c r="F10" s="432"/>
      <c r="G10" s="432"/>
      <c r="H10" s="432"/>
      <c r="I10" s="433"/>
      <c r="J10" s="21" t="str">
        <f>IF(E10="","&lt;--- Enter Name of Contract Manager","")</f>
        <v>&lt;--- Enter Name of Contract Manager</v>
      </c>
      <c r="K10" s="10"/>
      <c r="L10" s="7"/>
      <c r="M10" s="10"/>
      <c r="N10" s="10"/>
    </row>
    <row r="11" spans="1:14" s="6" customFormat="1" ht="30" customHeight="1">
      <c r="A11" s="4"/>
      <c r="B11" s="7"/>
      <c r="D11" s="24" t="s">
        <v>19</v>
      </c>
      <c r="E11" s="431"/>
      <c r="F11" s="432"/>
      <c r="G11" s="432"/>
      <c r="H11" s="432"/>
      <c r="I11" s="433"/>
      <c r="J11" s="21" t="str">
        <f>IF(E11="","&lt;--- Enter Name of Person Completing Report","")</f>
        <v>&lt;--- Enter Name of Person Completing Report</v>
      </c>
      <c r="K11" s="10"/>
      <c r="L11" s="7"/>
      <c r="M11" s="10"/>
      <c r="N11" s="10"/>
    </row>
    <row r="12" spans="1:14" s="6" customFormat="1" ht="30" customHeight="1">
      <c r="A12" s="3"/>
      <c r="B12" s="8"/>
      <c r="D12" s="24" t="s">
        <v>22</v>
      </c>
      <c r="E12" s="434"/>
      <c r="F12" s="435"/>
      <c r="G12" s="435"/>
      <c r="H12" s="435"/>
      <c r="I12" s="436"/>
      <c r="J12" s="21" t="str">
        <f>IF(E12="","&lt;--- Enter Date Report Completed","")</f>
        <v>&lt;--- Enter Date Report Completed</v>
      </c>
      <c r="K12" s="9"/>
      <c r="L12" s="9"/>
      <c r="M12" s="9"/>
      <c r="N12" s="9"/>
    </row>
    <row r="13" spans="1:14" ht="14.25">
      <c r="A13" s="12"/>
      <c r="B13" s="13"/>
      <c r="C13" s="13"/>
      <c r="D13" s="13"/>
      <c r="E13" s="13"/>
      <c r="F13" s="13"/>
      <c r="H13" s="13"/>
      <c r="I13" s="13"/>
      <c r="J13" s="13"/>
      <c r="K13" s="13"/>
      <c r="L13" s="13"/>
      <c r="M13" s="13"/>
      <c r="N13" s="13"/>
    </row>
    <row r="14" spans="1:14" ht="14.25">
      <c r="A14" s="12"/>
      <c r="B14" s="13"/>
      <c r="C14" s="13"/>
      <c r="D14" s="13"/>
      <c r="E14" s="13"/>
      <c r="F14" s="13"/>
      <c r="H14" s="13"/>
      <c r="I14" s="13"/>
      <c r="J14" s="13"/>
      <c r="K14" s="13"/>
      <c r="L14" s="13"/>
      <c r="M14" s="13"/>
      <c r="N14" s="13"/>
    </row>
    <row r="15" spans="1:14" ht="14.25">
      <c r="A15" s="12"/>
      <c r="B15" s="13"/>
      <c r="C15" s="13"/>
      <c r="D15" s="13"/>
      <c r="E15" s="13"/>
      <c r="F15" s="13"/>
      <c r="H15" s="13"/>
      <c r="I15" s="13"/>
      <c r="J15" s="13"/>
      <c r="K15" s="13"/>
      <c r="L15" s="13"/>
      <c r="M15" s="13"/>
      <c r="N15" s="13"/>
    </row>
  </sheetData>
  <sheetProtection sheet="1" objects="1" scenarios="1" selectLockedCells="1"/>
  <mergeCells count="7">
    <mergeCell ref="E10:I10"/>
    <mergeCell ref="E11:I11"/>
    <mergeCell ref="E12:I12"/>
    <mergeCell ref="F3:H3"/>
    <mergeCell ref="E7:I7"/>
    <mergeCell ref="E9:I9"/>
    <mergeCell ref="F4:H4"/>
  </mergeCells>
  <phoneticPr fontId="11" type="noConversion"/>
  <conditionalFormatting sqref="F3:H3">
    <cfRule type="expression" dxfId="1116" priority="9">
      <formula>$F$3=""</formula>
    </cfRule>
  </conditionalFormatting>
  <conditionalFormatting sqref="E7:I7">
    <cfRule type="expression" dxfId="1115" priority="8">
      <formula>$E7=""</formula>
    </cfRule>
  </conditionalFormatting>
  <conditionalFormatting sqref="E9:I9">
    <cfRule type="expression" dxfId="1114" priority="5">
      <formula>$E$9=""</formula>
    </cfRule>
  </conditionalFormatting>
  <conditionalFormatting sqref="E10:I10">
    <cfRule type="expression" dxfId="1113" priority="4">
      <formula>$E$10=""</formula>
    </cfRule>
  </conditionalFormatting>
  <conditionalFormatting sqref="E11:I11">
    <cfRule type="expression" dxfId="1112" priority="3">
      <formula>$E$11=""</formula>
    </cfRule>
  </conditionalFormatting>
  <conditionalFormatting sqref="E12:I12">
    <cfRule type="expression" dxfId="1111" priority="2">
      <formula>$E$12=""</formula>
    </cfRule>
  </conditionalFormatting>
  <conditionalFormatting sqref="F4:H4">
    <cfRule type="expression" dxfId="1110"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xr:uid="{00000000-0002-0000-0000-000000000000}">
      <formula1>"2012,2013,2014,2015,2016,2017,2018,2019,2020,2021,2022,2023,2024,2025"</formula1>
    </dataValidation>
    <dataValidation type="list" allowBlank="1" showInputMessage="1" showErrorMessage="1" prompt="Select the LME-MCO from the drop-down list." sqref="E7" xr:uid="{00000000-0002-0000-0000-000001000000}">
      <formula1>LME_MCO</formula1>
    </dataValidation>
    <dataValidation type="list" operator="greaterThan" allowBlank="1" showInputMessage="1" showErrorMessage="1" prompt="Select the &quot;Report Quarter&quot; from the drop-down list provided." sqref="F4" xr:uid="{00000000-0002-0000-0000-000002000000}">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H46"/>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c r="A1" s="35" t="s">
        <v>23</v>
      </c>
      <c r="I1" s="30" t="s">
        <v>254</v>
      </c>
      <c r="P1" s="30" t="s">
        <v>254</v>
      </c>
    </row>
    <row r="2" spans="1:34" ht="15" customHeight="1">
      <c r="A2" s="35" t="s">
        <v>187</v>
      </c>
      <c r="I2" s="214" t="s">
        <v>255</v>
      </c>
      <c r="P2" s="214" t="s">
        <v>255</v>
      </c>
    </row>
    <row r="3" spans="1:34" ht="15" customHeight="1">
      <c r="A3" s="30" t="s">
        <v>185</v>
      </c>
      <c r="C3" s="138">
        <f>IF('Set-Up Worksheet'!F3="","Data Not Entered On Set-Up Worksheet",'Set-Up Worksheet'!F3)</f>
        <v>2021</v>
      </c>
      <c r="G3" s="138"/>
      <c r="J3" s="138">
        <f t="shared" ref="J3:J11" si="0">C3</f>
        <v>2021</v>
      </c>
      <c r="N3" s="138"/>
      <c r="Q3" s="138">
        <f t="shared" ref="Q3:Q11" si="1">C3</f>
        <v>2021</v>
      </c>
      <c r="U3" s="138"/>
    </row>
    <row r="4" spans="1:34" ht="15" customHeight="1">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c r="A5" s="30"/>
      <c r="C5" s="32"/>
      <c r="G5" s="32"/>
      <c r="J5" s="38"/>
      <c r="N5" s="32"/>
      <c r="Q5" s="38"/>
      <c r="U5" s="32"/>
    </row>
    <row r="6" spans="1:34" ht="15" customHeight="1">
      <c r="A6" s="30" t="s">
        <v>234</v>
      </c>
      <c r="C6" s="32"/>
      <c r="G6" s="32"/>
      <c r="I6" s="30" t="s">
        <v>256</v>
      </c>
      <c r="J6" s="38"/>
      <c r="N6" s="32"/>
      <c r="P6" s="30" t="s">
        <v>256</v>
      </c>
      <c r="Q6" s="38"/>
      <c r="U6" s="32"/>
    </row>
    <row r="7" spans="1:34" ht="15" customHeight="1">
      <c r="A7" s="30" t="s">
        <v>343</v>
      </c>
      <c r="C7" s="32"/>
      <c r="G7" s="32"/>
      <c r="I7" s="30" t="s">
        <v>344</v>
      </c>
      <c r="J7" s="38"/>
      <c r="N7" s="32"/>
      <c r="P7" s="30" t="s">
        <v>344</v>
      </c>
      <c r="Q7" s="38"/>
      <c r="U7" s="32"/>
    </row>
    <row r="8" spans="1:34" ht="15" customHeight="1">
      <c r="A8" s="30"/>
      <c r="C8" s="32"/>
      <c r="G8" s="32"/>
      <c r="J8" s="38"/>
      <c r="N8" s="32"/>
      <c r="Q8" s="38"/>
      <c r="U8" s="32"/>
      <c r="Z8" s="51"/>
      <c r="AA8" s="51"/>
      <c r="AB8" s="52"/>
      <c r="AC8" s="51"/>
      <c r="AD8" s="51"/>
      <c r="AE8" s="51"/>
      <c r="AF8" s="51"/>
      <c r="AG8" s="30"/>
      <c r="AH8" s="34"/>
    </row>
    <row r="9" spans="1:34" ht="15" customHeight="1">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c r="A10" s="30" t="s">
        <v>9</v>
      </c>
      <c r="C10" s="32" t="s">
        <v>10</v>
      </c>
      <c r="G10" s="32"/>
      <c r="J10" s="38" t="str">
        <f t="shared" si="0"/>
        <v>Behavioral Health</v>
      </c>
      <c r="N10" s="32"/>
      <c r="Q10" s="38" t="str">
        <f t="shared" si="1"/>
        <v>Behavioral Health</v>
      </c>
      <c r="U10" s="32"/>
    </row>
    <row r="11" spans="1:34" ht="15" customHeight="1">
      <c r="A11" s="30" t="s">
        <v>188</v>
      </c>
      <c r="C11" s="39" t="str">
        <f>IF(C4="Data Not Entered On Set-Up Worksheet","Data Not Entered On Set-Up Worksheet",IF(C4="1st Quarter",'Report Schedule'!D16,IF(C4="2nd Quarter",'Report Schedule'!E16,IF(C4="3rd Quarter",'Report Schedule'!F16,IF(C4="4th Quarter",'Report Schedule'!G16,"")))))</f>
        <v>Apr - Jun 2020</v>
      </c>
      <c r="E11" s="76" t="s">
        <v>35</v>
      </c>
      <c r="G11" s="39"/>
      <c r="J11" s="39" t="str">
        <f t="shared" si="0"/>
        <v>Apr - Jun 2020</v>
      </c>
      <c r="L11" s="76"/>
      <c r="N11" s="39"/>
      <c r="Q11" s="39" t="str">
        <f t="shared" si="1"/>
        <v>Apr - Jun 2020</v>
      </c>
      <c r="S11" s="76"/>
      <c r="U11" s="39"/>
    </row>
    <row r="12" spans="1:34" ht="15" customHeight="1">
      <c r="A12" s="30"/>
      <c r="F12" s="39"/>
      <c r="G12" s="39"/>
      <c r="M12" s="39"/>
      <c r="N12" s="39"/>
      <c r="T12" s="39"/>
      <c r="U12" s="39"/>
    </row>
    <row r="13" spans="1:34" ht="13.5" thickBot="1"/>
    <row r="14" spans="1:34" ht="18" customHeight="1" thickBot="1">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5" thickBot="1">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3.75">
      <c r="A16" s="72" t="s">
        <v>38</v>
      </c>
      <c r="B16" s="158" t="s">
        <v>241</v>
      </c>
      <c r="C16" s="156" t="s">
        <v>235</v>
      </c>
      <c r="D16" s="156" t="s">
        <v>237</v>
      </c>
      <c r="E16" s="209" t="s">
        <v>242</v>
      </c>
      <c r="F16" s="156" t="s">
        <v>236</v>
      </c>
      <c r="G16" s="207" t="s">
        <v>249</v>
      </c>
      <c r="H16" s="157" t="s">
        <v>244</v>
      </c>
      <c r="I16" s="141" t="s">
        <v>241</v>
      </c>
      <c r="J16" s="64" t="s">
        <v>235</v>
      </c>
      <c r="K16" s="64" t="s">
        <v>237</v>
      </c>
      <c r="L16" s="79" t="s">
        <v>242</v>
      </c>
      <c r="M16" s="64" t="s">
        <v>236</v>
      </c>
      <c r="N16" s="213" t="s">
        <v>249</v>
      </c>
      <c r="O16" s="65" t="s">
        <v>244</v>
      </c>
      <c r="P16" s="158" t="s">
        <v>241</v>
      </c>
      <c r="Q16" s="156" t="s">
        <v>235</v>
      </c>
      <c r="R16" s="156" t="s">
        <v>237</v>
      </c>
      <c r="S16" s="209" t="s">
        <v>242</v>
      </c>
      <c r="T16" s="156" t="s">
        <v>236</v>
      </c>
      <c r="U16" s="207" t="s">
        <v>249</v>
      </c>
      <c r="V16" s="157" t="s">
        <v>244</v>
      </c>
    </row>
    <row r="17" spans="1:22" ht="18" customHeight="1">
      <c r="A17" s="73" t="str">
        <f>IF($C$9="Data Not Entered On Set-Up Worksheet","",IF(OR(VLOOKUP($C$9,County_Lookup,2,FALSE)="",VLOOKUP($C$9,County_Lookup,2,FALSE)=0),"",VLOOKUP($C$9,County_Lookup,2,FALSE)))</f>
        <v/>
      </c>
      <c r="B17" s="142"/>
      <c r="C17" s="144"/>
      <c r="D17" s="144"/>
      <c r="E17" s="142"/>
      <c r="F17" s="58"/>
      <c r="G17" s="211" t="str">
        <f t="shared" ref="G17:G44" si="2">IF($A17="","",IF($F17=0,0,B17/$F17))</f>
        <v/>
      </c>
      <c r="H17" s="67" t="str">
        <f>IF($A17="","",IF($F17=0,0,E17/$F17))</f>
        <v/>
      </c>
      <c r="I17" s="142"/>
      <c r="J17" s="144"/>
      <c r="K17" s="144"/>
      <c r="L17" s="142"/>
      <c r="M17" s="58"/>
      <c r="N17" s="211" t="str">
        <f t="shared" ref="N17:N44" si="3">IF($A17="","",IF($M17=0,0,I17/$M17))</f>
        <v/>
      </c>
      <c r="O17" s="67" t="str">
        <f t="shared" ref="O17:O44" si="4">IF($A17="","",IF($M17=0,0,L17/$M17))</f>
        <v/>
      </c>
      <c r="P17" s="142"/>
      <c r="Q17" s="144"/>
      <c r="R17" s="144"/>
      <c r="S17" s="142"/>
      <c r="T17" s="58"/>
      <c r="U17" s="211" t="str">
        <f t="shared" ref="U17:U44" si="5">IF($A17="","",IF($T17=0,0,P17/$T17))</f>
        <v/>
      </c>
      <c r="V17" s="67" t="str">
        <f t="shared" ref="V17:V44" si="6">IF($A17="","",IF($T17=0,0,S17/$T17))</f>
        <v/>
      </c>
    </row>
    <row r="18" spans="1:22" ht="18" customHeight="1">
      <c r="A18" s="74" t="str">
        <f>IF($C$9="Data Not Entered On Set-Up Worksheet","",IF(OR(VLOOKUP($C$9,County_Lookup,3,FALSE)="",VLOOKUP($C$9,County_Lookup,3,FALSE)=0),"",VLOOKUP($C$9,County_Lookup,3,FALSE)))</f>
        <v/>
      </c>
      <c r="B18" s="142"/>
      <c r="C18" s="144"/>
      <c r="D18" s="144"/>
      <c r="E18" s="142"/>
      <c r="F18" s="58"/>
      <c r="G18" s="211" t="str">
        <f t="shared" si="2"/>
        <v/>
      </c>
      <c r="H18" s="67" t="str">
        <f t="shared" ref="H18:H43"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c r="A19" s="74" t="str">
        <f>IF($C$9="Data Not Entered On Set-Up Worksheet","",IF(OR(VLOOKUP($C$9,County_Lookup,4,FALSE)="",VLOOKUP($C$9,County_Lookup,4,FALSE)=0),"",VLOOKUP($C$9,County_Lookup,4,FALSE)))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c r="A20" s="74" t="str">
        <f>IF($C$9="Data Not Entered On Set-Up Worksheet","",IF(OR(VLOOKUP($C$9,County_Lookup,5,FALSE)="",VLOOKUP($C$9,County_Lookup,5,FALSE)=0),"",VLOOKUP($C$9,County_Lookup,5,FALSE)))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c r="A21" s="74" t="str">
        <f>IF($C$9="Data Not Entered On Set-Up Worksheet","",IF(OR(VLOOKUP($C$9,County_Lookup,6,FALSE)="",VLOOKUP($C$9,County_Lookup,6,FALSE)=0),"",VLOOKUP($C$9,County_Lookup,6,FALSE)))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c r="A22" s="74" t="str">
        <f>IF($C$9="Data Not Entered On Set-Up Worksheet","",IF(OR(VLOOKUP($C$9,County_Lookup,7,FALSE)="",VLOOKUP($C$9,County_Lookup,7,FALSE)=0),"",VLOOKUP($C$9,County_Lookup,7,FALSE)))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c r="A23" s="73" t="str">
        <f>IF($C$9="Data Not Entered On Set-Up Worksheet","",IF(OR(VLOOKUP($C$9,County_Lookup,8,FALSE)="",VLOOKUP($C$9,County_Lookup,8,FALSE)=0),"",VLOOKUP($C$9,County_Lookup,8,FALSE)))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c r="A24" s="74" t="str">
        <f>IF($C$9="Data Not Entered On Set-Up Worksheet","",IF(OR(VLOOKUP($C$9,County_Lookup,9,FALSE)="",VLOOKUP($C$9,County_Lookup,9,FALSE)=0),"",VLOOKUP($C$9,County_Lookup,9,FALSE)))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c r="A25" s="74" t="str">
        <f>IF($C$9="Data Not Entered On Set-Up Worksheet","",IF(OR(VLOOKUP($C$9,County_Lookup,10,FALSE)="",VLOOKUP($C$9,County_Lookup,10,FALSE)=0),"",VLOOKUP($C$9,County_Lookup,10,FALSE)))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c r="A26" s="74" t="str">
        <f>IF($C$9="Data Not Entered On Set-Up Worksheet","",IF(OR(VLOOKUP($C$9,County_Lookup,11,FALSE)="",VLOOKUP($C$9,County_Lookup,11,FALSE)=0),"",VLOOKUP($C$9,County_Lookup,11,FALSE)))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c r="A27" s="74" t="str">
        <f>IF($C$9="Data Not Entered On Set-Up Worksheet","",IF(OR(VLOOKUP($C$9,County_Lookup,12,FALSE)="",VLOOKUP($C$9,County_Lookup,12,FALSE)=0),"",VLOOKUP($C$9,County_Lookup,12,FALSE)))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c r="A28" s="74" t="str">
        <f>IF($C$9="Data Not Entered On Set-Up Worksheet","",IF(OR(VLOOKUP($C$9,County_Lookup,13,FALSE)="",VLOOKUP($C$9,County_Lookup,13,FALSE)=0),"",VLOOKUP($C$9,County_Lookup,13,FALSE)))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c r="A29" s="74" t="str">
        <f>IF($C$9="Data Not Entered On Set-Up Worksheet","",IF(OR(VLOOKUP($C$9,County_Lookup,14,FALSE)="",VLOOKUP($C$9,County_Lookup,14,FALSE)=0),"",VLOOKUP($C$9,County_Lookup,14,FALSE)))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c r="A30" s="73" t="str">
        <f>IF($C$9="Data Not Entered On Set-Up Worksheet","",IF(OR(VLOOKUP($C$9,County_Lookup,15,FALSE)="",VLOOKUP($C$9,County_Lookup,15,FALSE)=0),"",VLOOKUP($C$9,County_Lookup,15,FALSE)))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c r="A31" s="74" t="str">
        <f>IF($C$9="Data Not Entered On Set-Up Worksheet","",IF(OR(VLOOKUP($C$9,County_Lookup,16,FALSE)="",VLOOKUP($C$9,County_Lookup,16,FALSE)=0),"",VLOOKUP($C$9,County_Lookup,16,FALSE)))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c r="A32" s="74" t="str">
        <f>IF($C$9="Data Not Entered On Set-Up Worksheet","",IF(OR(VLOOKUP($C$9,County_Lookup,17,FALSE)="",VLOOKUP($C$9,County_Lookup,17,FALSE)=0),"",VLOOKUP($C$9,County_Lookup,17,FALSE)))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c r="A33" s="74" t="str">
        <f>IF($C$9="Data Not Entered On Set-Up Worksheet","",IF(OR(VLOOKUP($C$9,County_Lookup,18,FALSE)="",VLOOKUP($C$9,County_Lookup,18,FALSE)=0),"",VLOOKUP($C$9,County_Lookup,18,FALSE)))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c r="A34" s="74" t="str">
        <f>IF($C$9="Data Not Entered On Set-Up Worksheet","",IF(OR(VLOOKUP($C$9,County_Lookup,19,FALSE)="",VLOOKUP($C$9,County_Lookup,19,FALSE)=0),"",VLOOKUP($C$9,County_Lookup,19,FALSE)))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c r="A35" s="74" t="str">
        <f>IF($C$9="Data Not Entered On Set-Up Worksheet","",IF(OR(VLOOKUP($C$9,County_Lookup,20,FALSE)="",VLOOKUP($C$9,County_Lookup,20,FALSE)=0),"",VLOOKUP($C$9,County_Lookup,20,FALSE)))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c r="A36" s="74" t="str">
        <f>IF($C$9="Data Not Entered On Set-Up Worksheet","",IF(OR(VLOOKUP($C$9,County_Lookup,21,FALSE)="",VLOOKUP($C$9,County_Lookup,21,FALSE)=0),"",VLOOKUP($C$9,County_Lookup,21,FALSE)))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c r="A37" s="73" t="str">
        <f>IF($C$9="Data Not Entered On Set-Up Worksheet","",IF(OR(VLOOKUP($C$9,County_Lookup,22,FALSE)="",VLOOKUP($C$9,County_Lookup,22,FALSE)=0),"",VLOOKUP($C$9,County_Lookup,22,FALSE)))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c r="A38" s="74" t="str">
        <f>IF($C$9="Data Not Entered On Set-Up Worksheet","",IF(OR(VLOOKUP($C$9,County_Lookup,23,FALSE)="",VLOOKUP($C$9,County_Lookup,23,FALSE)=0),"",VLOOKUP($C$9,County_Lookup,23,FALSE)))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c r="A39" s="74" t="str">
        <f>IF($C$9="Data Not Entered On Set-Up Worksheet","",IF(OR(VLOOKUP($C$9,County_Lookup,24,FALSE)="",VLOOKUP($C$9,County_Lookup,24,FALSE)=0),"",VLOOKUP($C$9,County_Lookup,24,FALSE)))</f>
        <v/>
      </c>
      <c r="B39" s="142"/>
      <c r="C39" s="144"/>
      <c r="D39" s="144"/>
      <c r="E39" s="142"/>
      <c r="F39" s="58"/>
      <c r="G39" s="211" t="str">
        <f t="shared" ref="G39:G42" si="8">IF($A39="","",IF($F39=0,0,B39/$F39))</f>
        <v/>
      </c>
      <c r="H39" s="67" t="str">
        <f t="shared" ref="H39:H42" si="9">IF($A39="","",IF($F39=0,0,E39/$F39))</f>
        <v/>
      </c>
      <c r="I39" s="142"/>
      <c r="J39" s="144"/>
      <c r="K39" s="144"/>
      <c r="L39" s="142"/>
      <c r="M39" s="58"/>
      <c r="N39" s="211" t="str">
        <f t="shared" ref="N39:N42" si="10">IF($A39="","",IF($M39=0,0,I39/$M39))</f>
        <v/>
      </c>
      <c r="O39" s="67" t="str">
        <f t="shared" ref="O39:O42" si="11">IF($A39="","",IF($M39=0,0,L39/$M39))</f>
        <v/>
      </c>
      <c r="P39" s="142"/>
      <c r="Q39" s="144"/>
      <c r="R39" s="144"/>
      <c r="S39" s="142"/>
      <c r="T39" s="58"/>
      <c r="U39" s="211" t="str">
        <f t="shared" ref="U39:U42" si="12">IF($A39="","",IF($T39=0,0,P39/$T39))</f>
        <v/>
      </c>
      <c r="V39" s="67" t="str">
        <f t="shared" ref="V39:V42" si="13">IF($A39="","",IF($T39=0,0,S39/$T39))</f>
        <v/>
      </c>
    </row>
    <row r="40" spans="1:22" ht="18" customHeight="1">
      <c r="A40" s="74" t="str">
        <f>IF($C$9="Data Not Entered On Set-Up Worksheet","",IF(OR(VLOOKUP($C$9,County_Lookup,25,FALSE)="",VLOOKUP($C$9,County_Lookup,25,FALSE)=0),"",VLOOKUP($C$9,County_Lookup,25,FALSE)))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c r="A41" s="74" t="str">
        <f>IF($C$9="Data Not Entered On Set-Up Worksheet","",IF(OR(VLOOKUP($C$9,County_Lookup,26,FALSE)="",VLOOKUP($C$9,County_Lookup,26,FALSE)=0),"",VLOOKUP($C$9,County_Lookup,26,FALSE)))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c r="A42" s="74" t="str">
        <f>IF($C$9="Data Not Entered On Set-Up Worksheet","",IF(OR(VLOOKUP($C$9,County_Lookup,27,FALSE)="",VLOOKUP($C$9,County_Lookup,27,FALSE)=0),"",VLOOKUP($C$9,County_Lookup,27,FALSE)))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c r="A43" s="74" t="str">
        <f>IF($C$9="Data Not Entered On Set-Up Worksheet","",IF(OR(VLOOKUP($C$9,County_Lookup,28,FALSE)="",VLOOKUP($C$9,County_Lookup,28,FALSE)=0),"",VLOOKUP($C$9,County_Lookup,28,FALSE)))</f>
        <v/>
      </c>
      <c r="B43" s="142"/>
      <c r="C43" s="144"/>
      <c r="D43" s="144"/>
      <c r="E43" s="142"/>
      <c r="F43" s="58"/>
      <c r="G43" s="211" t="str">
        <f t="shared" si="2"/>
        <v/>
      </c>
      <c r="H43" s="67" t="str">
        <f t="shared" si="7"/>
        <v/>
      </c>
      <c r="I43" s="142"/>
      <c r="J43" s="144"/>
      <c r="K43" s="144"/>
      <c r="L43" s="142"/>
      <c r="M43" s="58"/>
      <c r="N43" s="211" t="str">
        <f t="shared" si="3"/>
        <v/>
      </c>
      <c r="O43" s="67" t="str">
        <f t="shared" si="4"/>
        <v/>
      </c>
      <c r="P43" s="142"/>
      <c r="Q43" s="144"/>
      <c r="R43" s="144"/>
      <c r="S43" s="142"/>
      <c r="T43" s="58"/>
      <c r="U43" s="211" t="str">
        <f t="shared" si="5"/>
        <v/>
      </c>
      <c r="V43" s="67" t="str">
        <f t="shared" si="6"/>
        <v/>
      </c>
    </row>
    <row r="44" spans="1:22" ht="18" customHeight="1" thickBot="1">
      <c r="A44" s="75" t="s">
        <v>0</v>
      </c>
      <c r="B44" s="143">
        <f t="shared" ref="B44:D44" si="14">SUM(B17:B43)</f>
        <v>0</v>
      </c>
      <c r="C44" s="69">
        <f t="shared" si="14"/>
        <v>0</v>
      </c>
      <c r="D44" s="69">
        <f t="shared" si="14"/>
        <v>0</v>
      </c>
      <c r="E44" s="210">
        <f>SUM(E17:E43)</f>
        <v>0</v>
      </c>
      <c r="F44" s="69">
        <f>SUM(F17:F43)</f>
        <v>0</v>
      </c>
      <c r="G44" s="212">
        <f t="shared" si="2"/>
        <v>0</v>
      </c>
      <c r="H44" s="70">
        <f>IF($A44="","",IF($F44=0,0,E44/$F44))</f>
        <v>0</v>
      </c>
      <c r="I44" s="143">
        <f t="shared" ref="I44:K44" si="15">SUM(I17:I43)</f>
        <v>0</v>
      </c>
      <c r="J44" s="69">
        <f t="shared" si="15"/>
        <v>0</v>
      </c>
      <c r="K44" s="69">
        <f t="shared" si="15"/>
        <v>0</v>
      </c>
      <c r="L44" s="210">
        <f>SUM(L17:L43)</f>
        <v>0</v>
      </c>
      <c r="M44" s="69">
        <f>SUM(M17:M43)</f>
        <v>0</v>
      </c>
      <c r="N44" s="212">
        <f t="shared" si="3"/>
        <v>0</v>
      </c>
      <c r="O44" s="70">
        <f t="shared" si="4"/>
        <v>0</v>
      </c>
      <c r="P44" s="143">
        <f t="shared" ref="P44:R44" si="16">SUM(P17:P43)</f>
        <v>0</v>
      </c>
      <c r="Q44" s="69">
        <f t="shared" si="16"/>
        <v>0</v>
      </c>
      <c r="R44" s="69">
        <f t="shared" si="16"/>
        <v>0</v>
      </c>
      <c r="S44" s="210">
        <f>SUM(S17:S43)</f>
        <v>0</v>
      </c>
      <c r="T44" s="69">
        <f>SUM(T17:T43)</f>
        <v>0</v>
      </c>
      <c r="U44" s="212">
        <f t="shared" si="5"/>
        <v>0</v>
      </c>
      <c r="V44" s="70">
        <f t="shared" si="6"/>
        <v>0</v>
      </c>
    </row>
    <row r="46" spans="1:22">
      <c r="B46" s="57" t="s">
        <v>373</v>
      </c>
      <c r="C46" s="57"/>
      <c r="D46" s="57"/>
      <c r="E46" s="57"/>
      <c r="F46" s="57"/>
      <c r="G46" s="57"/>
      <c r="H46" s="57"/>
      <c r="I46" s="57" t="s">
        <v>374</v>
      </c>
      <c r="J46" s="57"/>
      <c r="K46" s="57"/>
      <c r="L46" s="57"/>
      <c r="M46" s="57"/>
      <c r="N46" s="57"/>
      <c r="O46" s="57"/>
      <c r="P46" s="57" t="s">
        <v>375</v>
      </c>
    </row>
  </sheetData>
  <sheetProtection sheet="1" objects="1" scenarios="1"/>
  <conditionalFormatting sqref="G3:G4 C3:C4 G9 C9 G11 C11 E11">
    <cfRule type="expression" dxfId="800" priority="25">
      <formula>C3="Data Not Entered On Set-Up Worksheet"</formula>
    </cfRule>
  </conditionalFormatting>
  <conditionalFormatting sqref="F12:G12">
    <cfRule type="expression" dxfId="799" priority="24">
      <formula>F12="Data Not Entered On Set-Up Worksheet"</formula>
    </cfRule>
  </conditionalFormatting>
  <conditionalFormatting sqref="B17:F39 B43:F43">
    <cfRule type="expression" dxfId="798" priority="13">
      <formula>$A17="Other"</formula>
    </cfRule>
    <cfRule type="expression" dxfId="797" priority="23">
      <formula>AND($A17&lt;&gt;"",B17="")</formula>
    </cfRule>
  </conditionalFormatting>
  <conditionalFormatting sqref="N3:N4 J3:J4 N9 J9 N11 J11 L11">
    <cfRule type="expression" dxfId="796" priority="22">
      <formula>J3="Data Not Entered On Set-Up Worksheet"</formula>
    </cfRule>
  </conditionalFormatting>
  <conditionalFormatting sqref="M12:N12">
    <cfRule type="expression" dxfId="795" priority="21">
      <formula>M12="Data Not Entered On Set-Up Worksheet"</formula>
    </cfRule>
  </conditionalFormatting>
  <conditionalFormatting sqref="I17:M39 I43:M43">
    <cfRule type="expression" dxfId="794" priority="20">
      <formula>AND($A17&lt;&gt;"",I17="")</formula>
    </cfRule>
  </conditionalFormatting>
  <conditionalFormatting sqref="U3:U4 Q3:Q4 U9 Q9 U11 Q11 S11">
    <cfRule type="expression" dxfId="793" priority="19">
      <formula>Q3="Data Not Entered On Set-Up Worksheet"</formula>
    </cfRule>
  </conditionalFormatting>
  <conditionalFormatting sqref="T12:U12">
    <cfRule type="expression" dxfId="792" priority="18">
      <formula>T12="Data Not Entered On Set-Up Worksheet"</formula>
    </cfRule>
  </conditionalFormatting>
  <conditionalFormatting sqref="P17:T39 P43:T43">
    <cfRule type="expression" dxfId="791" priority="17">
      <formula>AND($A17&lt;&gt;"",P17="")</formula>
    </cfRule>
  </conditionalFormatting>
  <conditionalFormatting sqref="B40:F40">
    <cfRule type="expression" dxfId="790" priority="9">
      <formula>$A40="Other"</formula>
    </cfRule>
    <cfRule type="expression" dxfId="789" priority="12">
      <formula>AND($A40&lt;&gt;"",B40="")</formula>
    </cfRule>
  </conditionalFormatting>
  <conditionalFormatting sqref="I40:M40">
    <cfRule type="expression" dxfId="788" priority="11">
      <formula>AND($A40&lt;&gt;"",I40="")</formula>
    </cfRule>
  </conditionalFormatting>
  <conditionalFormatting sqref="P40:T40">
    <cfRule type="expression" dxfId="787" priority="10">
      <formula>AND($A40&lt;&gt;"",P40="")</formula>
    </cfRule>
  </conditionalFormatting>
  <conditionalFormatting sqref="B41:F41">
    <cfRule type="expression" dxfId="786" priority="5">
      <formula>$A41="Other"</formula>
    </cfRule>
    <cfRule type="expression" dxfId="785" priority="8">
      <formula>AND($A41&lt;&gt;"",B41="")</formula>
    </cfRule>
  </conditionalFormatting>
  <conditionalFormatting sqref="I41:M41">
    <cfRule type="expression" dxfId="784" priority="7">
      <formula>AND($A41&lt;&gt;"",I41="")</formula>
    </cfRule>
  </conditionalFormatting>
  <conditionalFormatting sqref="P41:T41">
    <cfRule type="expression" dxfId="783" priority="6">
      <formula>AND($A41&lt;&gt;"",P41="")</formula>
    </cfRule>
  </conditionalFormatting>
  <conditionalFormatting sqref="B42:F42">
    <cfRule type="expression" dxfId="782" priority="1">
      <formula>$A42="Other"</formula>
    </cfRule>
    <cfRule type="expression" dxfId="781" priority="4">
      <formula>AND($A42&lt;&gt;"",B42="")</formula>
    </cfRule>
  </conditionalFormatting>
  <conditionalFormatting sqref="I42:M42">
    <cfRule type="expression" dxfId="780" priority="3">
      <formula>AND($A42&lt;&gt;"",I42="")</formula>
    </cfRule>
  </conditionalFormatting>
  <conditionalFormatting sqref="P42:T42">
    <cfRule type="expression" dxfId="779" priority="2">
      <formula>AND($A42&lt;&gt;"",P42="")</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M16"/>
  <sheetViews>
    <sheetView showGridLines="0" workbookViewId="0">
      <selection activeCell="E7" sqref="E7"/>
    </sheetView>
  </sheetViews>
  <sheetFormatPr defaultRowHeight="12.75"/>
  <cols>
    <col min="1" max="1" width="22.42578125" style="22" customWidth="1"/>
    <col min="2" max="16384" width="9.140625" style="22"/>
  </cols>
  <sheetData>
    <row r="1" spans="1:13" ht="15" customHeight="1">
      <c r="A1" s="35" t="s">
        <v>23</v>
      </c>
    </row>
    <row r="2" spans="1:13" ht="15" customHeight="1">
      <c r="A2" s="35" t="s">
        <v>187</v>
      </c>
    </row>
    <row r="3" spans="1:13" ht="15" customHeight="1">
      <c r="A3" s="30" t="s">
        <v>185</v>
      </c>
      <c r="C3" s="138">
        <f>IF('Set-Up Worksheet'!F3="","Data Not Entered On Set-Up Worksheet",'Set-Up Worksheet'!F3)</f>
        <v>2021</v>
      </c>
    </row>
    <row r="4" spans="1:13" ht="15" customHeight="1">
      <c r="A4" s="30" t="s">
        <v>186</v>
      </c>
      <c r="C4" s="138" t="str">
        <f>IF('Set-Up Worksheet'!F4="","Data Not Entered On Set-Up Worksheet",'Set-Up Worksheet'!F4)</f>
        <v>1st Quarter</v>
      </c>
    </row>
    <row r="5" spans="1:13" ht="15" customHeight="1">
      <c r="C5" s="32"/>
    </row>
    <row r="6" spans="1:13" ht="15" customHeight="1">
      <c r="A6" s="30" t="s">
        <v>262</v>
      </c>
      <c r="C6" s="32"/>
    </row>
    <row r="7" spans="1:13" ht="15" customHeight="1">
      <c r="A7" s="30" t="s">
        <v>263</v>
      </c>
      <c r="C7" s="32"/>
    </row>
    <row r="8" spans="1:13" ht="15" customHeight="1">
      <c r="A8" s="30"/>
      <c r="C8" s="32"/>
    </row>
    <row r="9" spans="1:13" ht="15" customHeight="1">
      <c r="A9" s="30" t="s">
        <v>24</v>
      </c>
      <c r="C9" s="38" t="str">
        <f>IF('Set-Up Worksheet'!E7="","Data Not Entered On Set-Up Worksheet",'Set-Up Worksheet'!E7)</f>
        <v>Data Not Entered On Set-Up Worksheet</v>
      </c>
    </row>
    <row r="10" spans="1:13" ht="15" customHeight="1">
      <c r="A10" s="30" t="s">
        <v>9</v>
      </c>
      <c r="C10" s="32" t="s">
        <v>10</v>
      </c>
    </row>
    <row r="11" spans="1:13" ht="15" customHeight="1">
      <c r="A11" s="30" t="s">
        <v>188</v>
      </c>
      <c r="C11" s="39" t="str">
        <f>IF(C4="Data Not Entered On Set-Up Worksheet","Data Not Entered On Set-Up Worksheet",IF(C4="1st Quarter",'Report Schedule'!D19,IF(C4="2nd Quarter",'Report Schedule'!E19,IF(C4="3rd Quarter",'Report Schedule'!F19,IF(C4="4th Quarter",'Report Schedule'!G19,"")))))</f>
        <v>Jul - Sep 2020</v>
      </c>
    </row>
    <row r="14" spans="1:13" ht="112.5" customHeight="1">
      <c r="A14" s="443" t="s">
        <v>264</v>
      </c>
      <c r="B14" s="443"/>
      <c r="C14" s="443"/>
      <c r="D14" s="443"/>
      <c r="E14" s="443"/>
      <c r="F14" s="443"/>
      <c r="G14" s="443"/>
      <c r="H14" s="443"/>
      <c r="I14" s="443"/>
      <c r="J14" s="443"/>
      <c r="K14" s="443"/>
      <c r="L14" s="443"/>
      <c r="M14" s="46"/>
    </row>
    <row r="15" spans="1:13">
      <c r="A15" s="46"/>
      <c r="B15" s="46"/>
      <c r="C15" s="46"/>
      <c r="D15" s="46"/>
      <c r="E15" s="46"/>
      <c r="F15" s="46"/>
      <c r="G15" s="46"/>
      <c r="H15" s="46"/>
      <c r="I15" s="46"/>
      <c r="J15" s="46"/>
      <c r="K15" s="46"/>
      <c r="L15" s="46"/>
      <c r="M15" s="46"/>
    </row>
    <row r="16" spans="1:13">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778" priority="3">
      <formula>C3="Data Not Entered On Set-Up Worksheet"</formula>
    </cfRule>
  </conditionalFormatting>
  <conditionalFormatting sqref="C9">
    <cfRule type="expression" dxfId="777" priority="2">
      <formula>C9="Data Not Entered On Set-Up Worksheet"</formula>
    </cfRule>
  </conditionalFormatting>
  <conditionalFormatting sqref="C11">
    <cfRule type="expression" dxfId="776"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M16"/>
  <sheetViews>
    <sheetView showGridLines="0" workbookViewId="0">
      <selection activeCell="E7" sqref="E7"/>
    </sheetView>
  </sheetViews>
  <sheetFormatPr defaultRowHeight="12.75"/>
  <cols>
    <col min="1" max="1" width="22.42578125" style="22" customWidth="1"/>
    <col min="2" max="16384" width="9.140625" style="22"/>
  </cols>
  <sheetData>
    <row r="1" spans="1:13" ht="15" customHeight="1">
      <c r="A1" s="35" t="s">
        <v>23</v>
      </c>
    </row>
    <row r="2" spans="1:13" ht="15" customHeight="1">
      <c r="A2" s="35" t="s">
        <v>187</v>
      </c>
    </row>
    <row r="3" spans="1:13" ht="15" customHeight="1">
      <c r="A3" s="30" t="s">
        <v>185</v>
      </c>
      <c r="C3" s="138">
        <f>IF('Set-Up Worksheet'!F3="","Data Not Entered On Set-Up Worksheet",'Set-Up Worksheet'!F3)</f>
        <v>2021</v>
      </c>
    </row>
    <row r="4" spans="1:13" ht="15" customHeight="1">
      <c r="A4" s="30" t="s">
        <v>186</v>
      </c>
      <c r="C4" s="138" t="str">
        <f>IF('Set-Up Worksheet'!F4="","Data Not Entered On Set-Up Worksheet",'Set-Up Worksheet'!F4)</f>
        <v>1st Quarter</v>
      </c>
    </row>
    <row r="5" spans="1:13" ht="15" customHeight="1">
      <c r="C5" s="32"/>
    </row>
    <row r="6" spans="1:13" ht="15" customHeight="1">
      <c r="A6" s="30" t="s">
        <v>262</v>
      </c>
      <c r="C6" s="32"/>
    </row>
    <row r="7" spans="1:13" ht="15" customHeight="1">
      <c r="A7" s="30" t="s">
        <v>265</v>
      </c>
      <c r="C7" s="32"/>
    </row>
    <row r="8" spans="1:13" ht="15" customHeight="1">
      <c r="A8" s="30"/>
      <c r="C8" s="32"/>
    </row>
    <row r="9" spans="1:13" ht="15" customHeight="1">
      <c r="A9" s="30" t="s">
        <v>24</v>
      </c>
      <c r="C9" s="38" t="str">
        <f>IF('Set-Up Worksheet'!E7="","Data Not Entered On Set-Up Worksheet",'Set-Up Worksheet'!E7)</f>
        <v>Data Not Entered On Set-Up Worksheet</v>
      </c>
    </row>
    <row r="10" spans="1:13" ht="15" customHeight="1">
      <c r="A10" s="30" t="s">
        <v>9</v>
      </c>
      <c r="C10" s="32" t="s">
        <v>10</v>
      </c>
    </row>
    <row r="11" spans="1:13" ht="15" customHeight="1">
      <c r="A11" s="30" t="s">
        <v>188</v>
      </c>
      <c r="C11" s="39" t="str">
        <f>IF(C4="Data Not Entered On Set-Up Worksheet","Data Not Entered On Set-Up Worksheet",IF(C4="1st Quarter",'Report Schedule'!D22,IF(C4="2nd Quarter",'Report Schedule'!E22,IF(C4="3rd Quarter",'Report Schedule'!F22,IF(C4="4th Quarter",'Report Schedule'!G22,"")))))</f>
        <v>Apr - Jun 2020</v>
      </c>
    </row>
    <row r="14" spans="1:13" ht="76.5" customHeight="1">
      <c r="A14" s="443" t="s">
        <v>346</v>
      </c>
      <c r="B14" s="443"/>
      <c r="C14" s="443"/>
      <c r="D14" s="443"/>
      <c r="E14" s="443"/>
      <c r="F14" s="443"/>
      <c r="G14" s="443"/>
      <c r="H14" s="443"/>
      <c r="I14" s="443"/>
      <c r="J14" s="443"/>
      <c r="K14" s="443"/>
      <c r="L14" s="443"/>
      <c r="M14" s="46"/>
    </row>
    <row r="15" spans="1:13">
      <c r="A15" s="46"/>
      <c r="B15" s="46"/>
      <c r="C15" s="46"/>
      <c r="D15" s="46"/>
      <c r="E15" s="46"/>
      <c r="F15" s="46"/>
      <c r="G15" s="46"/>
      <c r="H15" s="46"/>
      <c r="I15" s="46"/>
      <c r="J15" s="46"/>
      <c r="K15" s="46"/>
      <c r="L15" s="46"/>
      <c r="M15" s="46"/>
    </row>
    <row r="16" spans="1:13">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775" priority="3">
      <formula>C3="Data Not Entered On Set-Up Worksheet"</formula>
    </cfRule>
  </conditionalFormatting>
  <conditionalFormatting sqref="C9">
    <cfRule type="expression" dxfId="774" priority="2">
      <formula>C9="Data Not Entered On Set-Up Worksheet"</formula>
    </cfRule>
  </conditionalFormatting>
  <conditionalFormatting sqref="C11">
    <cfRule type="expression" dxfId="773"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BF4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14.7109375" style="22" customWidth="1"/>
    <col min="47" max="47" width="8.85546875" style="22" bestFit="1" customWidth="1"/>
    <col min="48" max="16384" width="9.140625" style="22"/>
  </cols>
  <sheetData>
    <row r="1" spans="1:58" ht="15" customHeight="1">
      <c r="A1" s="35" t="s">
        <v>23</v>
      </c>
      <c r="N1" s="30"/>
      <c r="Q1" s="30" t="s">
        <v>254</v>
      </c>
      <c r="AC1" s="30"/>
      <c r="AF1" s="30" t="s">
        <v>254</v>
      </c>
      <c r="AR1" s="30"/>
    </row>
    <row r="2" spans="1:58" ht="15" customHeight="1">
      <c r="A2" s="35" t="s">
        <v>187</v>
      </c>
      <c r="N2" s="214"/>
      <c r="Q2" s="214" t="s">
        <v>255</v>
      </c>
      <c r="AC2" s="214"/>
      <c r="AF2" s="214" t="s">
        <v>255</v>
      </c>
      <c r="AR2" s="214"/>
    </row>
    <row r="3" spans="1:58" ht="15" customHeight="1">
      <c r="A3" s="30" t="s">
        <v>185</v>
      </c>
      <c r="C3" s="138">
        <f>IF('Set-Up Worksheet'!F3="","Data Not Entered On Set-Up Worksheet",'Set-Up Worksheet'!F3)</f>
        <v>2021</v>
      </c>
      <c r="F3" s="37"/>
      <c r="I3" s="37"/>
      <c r="L3" s="37"/>
      <c r="O3" s="138"/>
      <c r="R3" s="138">
        <f t="shared" ref="R3:R11" si="0">C3</f>
        <v>2021</v>
      </c>
      <c r="U3" s="37"/>
      <c r="X3" s="37"/>
      <c r="AA3" s="37"/>
      <c r="AD3" s="138"/>
      <c r="AG3" s="138">
        <f t="shared" ref="AG3:AG11" si="1">C3</f>
        <v>2021</v>
      </c>
      <c r="AJ3" s="37"/>
      <c r="AM3" s="37"/>
      <c r="AP3" s="37"/>
      <c r="AS3" s="138"/>
    </row>
    <row r="4" spans="1:58" ht="15" customHeight="1">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c r="A5" s="30"/>
      <c r="C5" s="32"/>
      <c r="F5" s="32"/>
      <c r="I5" s="32"/>
      <c r="L5" s="32"/>
      <c r="O5" s="38"/>
      <c r="R5" s="38"/>
      <c r="U5" s="32"/>
      <c r="X5" s="32"/>
      <c r="AA5" s="32"/>
      <c r="AD5" s="38"/>
      <c r="AG5" s="38"/>
      <c r="AJ5" s="32"/>
      <c r="AM5" s="32"/>
      <c r="AP5" s="32"/>
      <c r="AS5" s="38"/>
    </row>
    <row r="6" spans="1:58" ht="15" customHeight="1">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c r="A7" s="30" t="s">
        <v>266</v>
      </c>
      <c r="C7" s="32"/>
      <c r="F7" s="32"/>
      <c r="I7" s="32"/>
      <c r="L7" s="32"/>
      <c r="N7" s="214"/>
      <c r="O7" s="38"/>
      <c r="Q7" s="214" t="s">
        <v>268</v>
      </c>
      <c r="R7" s="38"/>
      <c r="U7" s="32"/>
      <c r="X7" s="32"/>
      <c r="AA7" s="32"/>
      <c r="AC7" s="214"/>
      <c r="AD7" s="38"/>
      <c r="AF7" s="214" t="s">
        <v>268</v>
      </c>
      <c r="AG7" s="38"/>
      <c r="AJ7" s="32"/>
      <c r="AM7" s="32"/>
      <c r="AP7" s="32"/>
      <c r="AR7" s="214"/>
      <c r="AS7" s="38"/>
    </row>
    <row r="8" spans="1:58" ht="15" customHeight="1">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c r="A11" s="30" t="s">
        <v>188</v>
      </c>
      <c r="C11" s="39" t="str">
        <f>IF(C4="Data Not Entered On Set-Up Worksheet","Data Not Entered On Set-Up Worksheet",IF(C4="1st Quarter",'Report Schedule'!D25,IF(C4="2nd Quarter",'Report Schedule'!E25,IF(C4="3rd Quarter",'Report Schedule'!F25,IF(C4="4th Quarter",'Report Schedule'!G25,"")))))</f>
        <v>Apr - Jun 2020</v>
      </c>
      <c r="F11" s="76"/>
      <c r="I11" s="39"/>
      <c r="L11" s="39"/>
      <c r="O11" s="39"/>
      <c r="R11" s="39" t="str">
        <f t="shared" si="0"/>
        <v>Apr - Jun 2020</v>
      </c>
      <c r="U11" s="39"/>
      <c r="X11" s="39"/>
      <c r="AA11" s="39"/>
      <c r="AD11" s="39"/>
      <c r="AG11" s="39" t="str">
        <f t="shared" si="1"/>
        <v>Apr - Jun 2020</v>
      </c>
      <c r="AJ11" s="39"/>
      <c r="AM11" s="39"/>
      <c r="AP11" s="39"/>
      <c r="AS11" s="39"/>
    </row>
    <row r="12" spans="1:58" ht="15" customHeight="1" thickBot="1">
      <c r="A12" s="30"/>
      <c r="C12" s="39"/>
      <c r="F12" s="76"/>
      <c r="I12" s="39"/>
      <c r="L12" s="39"/>
      <c r="O12" s="39"/>
      <c r="R12" s="39"/>
      <c r="U12" s="39"/>
      <c r="X12" s="39"/>
      <c r="AA12" s="39"/>
      <c r="AD12" s="39"/>
      <c r="AG12" s="39"/>
      <c r="AJ12" s="39"/>
      <c r="AM12" s="39"/>
      <c r="AP12" s="39"/>
      <c r="AS12" s="39"/>
    </row>
    <row r="13" spans="1:58" ht="18" customHeight="1" thickBot="1">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5" thickBot="1">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50000000000003" customHeight="1">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c r="A17" s="73" t="str">
        <f>IF($C$9="Data Not Entered On Set-Up Worksheet","",IF(OR(VLOOKUP($C$9,County_Lookup,2,FALSE)="",VLOOKUP($C$9,County_Lookup,2,FALSE)=0),"",VLOOKUP($C$9,County_Lookup,2,FALSE)))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43" si="2">IF($A17="","",SUM(B17,E17,H17))</f>
        <v/>
      </c>
      <c r="O17" s="59" t="str">
        <f t="shared" ref="O17:O43"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43" si="4">IF($A17="","",SUM(Q17,T17,W17))</f>
        <v/>
      </c>
      <c r="AD17" s="59" t="str">
        <f t="shared" ref="AD17:AD43"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43" si="6">IF($A17="","",SUM(AF17,AI17,AL17))</f>
        <v/>
      </c>
      <c r="AS17" s="59" t="str">
        <f t="shared" ref="AS17:AS43" si="7">IF($A17="","",SUM(AG17,AJ17,AM17))</f>
        <v/>
      </c>
      <c r="AT17" s="217" t="str">
        <f>IF($A17="","",IF(AS17=0,0,AR17/AS17))</f>
        <v/>
      </c>
    </row>
    <row r="18" spans="1:46" ht="18" customHeight="1">
      <c r="A18" s="74" t="str">
        <f>IF($C$9="Data Not Entered On Set-Up Worksheet","",IF(OR(VLOOKUP($C$9,County_Lookup,3,FALSE)="",VLOOKUP($C$9,County_Lookup,3,FALSE)=0),"",VLOOKUP($C$9,County_Lookup,3,FALSE)))</f>
        <v/>
      </c>
      <c r="B18" s="66"/>
      <c r="C18" s="58"/>
      <c r="D18" s="217" t="str">
        <f t="shared" ref="D18:D43" si="8">IF($A18="","",IF(C18=0,0,B18/C18))</f>
        <v/>
      </c>
      <c r="E18" s="66"/>
      <c r="F18" s="58"/>
      <c r="G18" s="217" t="str">
        <f t="shared" ref="G18:G43" si="9">IF($A18="","",IF(F18=0,0,E18/F18))</f>
        <v/>
      </c>
      <c r="H18" s="66"/>
      <c r="I18" s="58"/>
      <c r="J18" s="217" t="str">
        <f t="shared" ref="J18:J43" si="10">IF($A18="","",IF(I18=0,0,H18/I18))</f>
        <v/>
      </c>
      <c r="K18" s="71" t="str">
        <f t="shared" ref="K18:L43" si="11">IF($A18="","",SUM(E18,H18))</f>
        <v/>
      </c>
      <c r="L18" s="59" t="str">
        <f t="shared" si="11"/>
        <v/>
      </c>
      <c r="M18" s="217" t="str">
        <f t="shared" ref="M18:M43" si="12">IF($A18="","",IF(L18=0,0,K18/L18))</f>
        <v/>
      </c>
      <c r="N18" s="71" t="str">
        <f t="shared" si="2"/>
        <v/>
      </c>
      <c r="O18" s="59" t="str">
        <f t="shared" si="3"/>
        <v/>
      </c>
      <c r="P18" s="217" t="str">
        <f t="shared" ref="P18:P43" si="13">IF($A18="","",IF(O18=0,0,N18/O18))</f>
        <v/>
      </c>
      <c r="Q18" s="66"/>
      <c r="R18" s="58"/>
      <c r="S18" s="217" t="str">
        <f t="shared" ref="S18:S43" si="14">IF($A18="","",IF(R18=0,0,Q18/R18))</f>
        <v/>
      </c>
      <c r="T18" s="66"/>
      <c r="U18" s="58"/>
      <c r="V18" s="217" t="str">
        <f t="shared" ref="V18:V43" si="15">IF($A18="","",IF(U18=0,0,T18/U18))</f>
        <v/>
      </c>
      <c r="W18" s="66"/>
      <c r="X18" s="58"/>
      <c r="Y18" s="217" t="str">
        <f t="shared" ref="Y18:Y43" si="16">IF($A18="","",IF(X18=0,0,W18/X18))</f>
        <v/>
      </c>
      <c r="Z18" s="71" t="str">
        <f t="shared" ref="Z18:AA43" si="17">IF($A18="","",SUM(T18,W18))</f>
        <v/>
      </c>
      <c r="AA18" s="59" t="str">
        <f t="shared" si="17"/>
        <v/>
      </c>
      <c r="AB18" s="217" t="str">
        <f t="shared" ref="AB18:AB43" si="18">IF($A18="","",IF(AA18=0,0,Z18/AA18))</f>
        <v/>
      </c>
      <c r="AC18" s="71" t="str">
        <f t="shared" si="4"/>
        <v/>
      </c>
      <c r="AD18" s="59" t="str">
        <f t="shared" si="5"/>
        <v/>
      </c>
      <c r="AE18" s="217" t="str">
        <f t="shared" ref="AE18:AE43" si="19">IF($A18="","",IF(AD18=0,0,AC18/AD18))</f>
        <v/>
      </c>
      <c r="AF18" s="66"/>
      <c r="AG18" s="58"/>
      <c r="AH18" s="217" t="str">
        <f t="shared" ref="AH18:AH43" si="20">IF($A18="","",IF(AG18=0,0,AF18/AG18))</f>
        <v/>
      </c>
      <c r="AI18" s="66"/>
      <c r="AJ18" s="58"/>
      <c r="AK18" s="217" t="str">
        <f t="shared" ref="AK18:AK43" si="21">IF($A18="","",IF(AJ18=0,0,AI18/AJ18))</f>
        <v/>
      </c>
      <c r="AL18" s="66"/>
      <c r="AM18" s="58"/>
      <c r="AN18" s="217" t="str">
        <f t="shared" ref="AN18:AN43" si="22">IF($A18="","",IF(AM18=0,0,AL18/AM18))</f>
        <v/>
      </c>
      <c r="AO18" s="71" t="str">
        <f t="shared" ref="AO18:AP43" si="23">IF($A18="","",SUM(AI18,AL18))</f>
        <v/>
      </c>
      <c r="AP18" s="59" t="str">
        <f t="shared" si="23"/>
        <v/>
      </c>
      <c r="AQ18" s="217" t="str">
        <f t="shared" ref="AQ18:AQ43" si="24">IF($A18="","",IF(AP18=0,0,AO18/AP18))</f>
        <v/>
      </c>
      <c r="AR18" s="71" t="str">
        <f t="shared" si="6"/>
        <v/>
      </c>
      <c r="AS18" s="59" t="str">
        <f t="shared" si="7"/>
        <v/>
      </c>
      <c r="AT18" s="217" t="str">
        <f t="shared" ref="AT18:AT43" si="25">IF($A18="","",IF(AS18=0,0,AR18/AS18))</f>
        <v/>
      </c>
    </row>
    <row r="19" spans="1:46" ht="18" customHeight="1">
      <c r="A19" s="74" t="str">
        <f>IF($C$9="Data Not Entered On Set-Up Worksheet","",IF(OR(VLOOKUP($C$9,County_Lookup,4,FALSE)="",VLOOKUP($C$9,County_Lookup,4,FALSE)=0),"",VLOOKUP($C$9,County_Lookup,4,FALSE)))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c r="A20" s="74" t="str">
        <f>IF($C$9="Data Not Entered On Set-Up Worksheet","",IF(OR(VLOOKUP($C$9,County_Lookup,5,FALSE)="",VLOOKUP($C$9,County_Lookup,5,FALSE)=0),"",VLOOKUP($C$9,County_Lookup,5,FALSE)))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c r="A21" s="74" t="str">
        <f>IF($C$9="Data Not Entered On Set-Up Worksheet","",IF(OR(VLOOKUP($C$9,County_Lookup,6,FALSE)="",VLOOKUP($C$9,County_Lookup,6,FALSE)=0),"",VLOOKUP($C$9,County_Lookup,6,FALSE)))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c r="A22" s="74" t="str">
        <f>IF($C$9="Data Not Entered On Set-Up Worksheet","",IF(OR(VLOOKUP($C$9,County_Lookup,7,FALSE)="",VLOOKUP($C$9,County_Lookup,7,FALSE)=0),"",VLOOKUP($C$9,County_Lookup,7,FALSE)))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c r="A23" s="73" t="str">
        <f>IF($C$9="Data Not Entered On Set-Up Worksheet","",IF(OR(VLOOKUP($C$9,County_Lookup,8,FALSE)="",VLOOKUP($C$9,County_Lookup,8,FALSE)=0),"",VLOOKUP($C$9,County_Lookup,8,FALSE)))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c r="A24" s="74" t="str">
        <f>IF($C$9="Data Not Entered On Set-Up Worksheet","",IF(OR(VLOOKUP($C$9,County_Lookup,9,FALSE)="",VLOOKUP($C$9,County_Lookup,9,FALSE)=0),"",VLOOKUP($C$9,County_Lookup,9,FALSE)))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c r="A25" s="74" t="str">
        <f>IF($C$9="Data Not Entered On Set-Up Worksheet","",IF(OR(VLOOKUP($C$9,County_Lookup,10,FALSE)="",VLOOKUP($C$9,County_Lookup,10,FALSE)=0),"",VLOOKUP($C$9,County_Lookup,10,FALSE)))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c r="A26" s="74" t="str">
        <f>IF($C$9="Data Not Entered On Set-Up Worksheet","",IF(OR(VLOOKUP($C$9,County_Lookup,11,FALSE)="",VLOOKUP($C$9,County_Lookup,11,FALSE)=0),"",VLOOKUP($C$9,County_Lookup,11,FALSE)))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c r="A27" s="74" t="str">
        <f>IF($C$9="Data Not Entered On Set-Up Worksheet","",IF(OR(VLOOKUP($C$9,County_Lookup,12,FALSE)="",VLOOKUP($C$9,County_Lookup,12,FALSE)=0),"",VLOOKUP($C$9,County_Lookup,12,FALSE)))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c r="A28" s="74" t="str">
        <f>IF($C$9="Data Not Entered On Set-Up Worksheet","",IF(OR(VLOOKUP($C$9,County_Lookup,13,FALSE)="",VLOOKUP($C$9,County_Lookup,13,FALSE)=0),"",VLOOKUP($C$9,County_Lookup,13,FALSE)))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c r="A29" s="74" t="str">
        <f>IF($C$9="Data Not Entered On Set-Up Worksheet","",IF(OR(VLOOKUP($C$9,County_Lookup,14,FALSE)="",VLOOKUP($C$9,County_Lookup,14,FALSE)=0),"",VLOOKUP($C$9,County_Lookup,14,FALSE)))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c r="A30" s="73" t="str">
        <f>IF($C$9="Data Not Entered On Set-Up Worksheet","",IF(OR(VLOOKUP($C$9,County_Lookup,15,FALSE)="",VLOOKUP($C$9,County_Lookup,15,FALSE)=0),"",VLOOKUP($C$9,County_Lookup,15,FALSE)))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c r="A31" s="74" t="str">
        <f>IF($C$9="Data Not Entered On Set-Up Worksheet","",IF(OR(VLOOKUP($C$9,County_Lookup,16,FALSE)="",VLOOKUP($C$9,County_Lookup,16,FALSE)=0),"",VLOOKUP($C$9,County_Lookup,16,FALSE)))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c r="A32" s="74" t="str">
        <f>IF($C$9="Data Not Entered On Set-Up Worksheet","",IF(OR(VLOOKUP($C$9,County_Lookup,17,FALSE)="",VLOOKUP($C$9,County_Lookup,17,FALSE)=0),"",VLOOKUP($C$9,County_Lookup,17,FALSE)))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c r="A33" s="74" t="str">
        <f>IF($C$9="Data Not Entered On Set-Up Worksheet","",IF(OR(VLOOKUP($C$9,County_Lookup,18,FALSE)="",VLOOKUP($C$9,County_Lookup,18,FALSE)=0),"",VLOOKUP($C$9,County_Lookup,18,FALSE)))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c r="A34" s="74" t="str">
        <f>IF($C$9="Data Not Entered On Set-Up Worksheet","",IF(OR(VLOOKUP($C$9,County_Lookup,19,FALSE)="",VLOOKUP($C$9,County_Lookup,19,FALSE)=0),"",VLOOKUP($C$9,County_Lookup,19,FALSE)))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c r="A35" s="74" t="str">
        <f>IF($C$9="Data Not Entered On Set-Up Worksheet","",IF(OR(VLOOKUP($C$9,County_Lookup,20,FALSE)="",VLOOKUP($C$9,County_Lookup,20,FALSE)=0),"",VLOOKUP($C$9,County_Lookup,20,FALSE)))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c r="A36" s="74" t="str">
        <f>IF($C$9="Data Not Entered On Set-Up Worksheet","",IF(OR(VLOOKUP($C$9,County_Lookup,21,FALSE)="",VLOOKUP($C$9,County_Lookup,21,FALSE)=0),"",VLOOKUP($C$9,County_Lookup,21,FALSE)))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c r="A37" s="73" t="str">
        <f>IF($C$9="Data Not Entered On Set-Up Worksheet","",IF(OR(VLOOKUP($C$9,County_Lookup,22,FALSE)="",VLOOKUP($C$9,County_Lookup,22,FALSE)=0),"",VLOOKUP($C$9,County_Lookup,22,FALSE)))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c r="A38" s="74" t="str">
        <f>IF($C$9="Data Not Entered On Set-Up Worksheet","",IF(OR(VLOOKUP($C$9,County_Lookup,23,FALSE)="",VLOOKUP($C$9,County_Lookup,23,FALSE)=0),"",VLOOKUP($C$9,County_Lookup,23,FALSE)))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c r="A39" s="74" t="str">
        <f>IF($C$9="Data Not Entered On Set-Up Worksheet","",IF(OR(VLOOKUP($C$9,County_Lookup,24,FALSE)="",VLOOKUP($C$9,County_Lookup,24,FALSE)=0),"",VLOOKUP($C$9,County_Lookup,24,FALSE)))</f>
        <v/>
      </c>
      <c r="B39" s="66"/>
      <c r="C39" s="58"/>
      <c r="D39" s="217" t="str">
        <f t="shared" ref="D39:D42" si="26">IF($A39="","",IF(C39=0,0,B39/C39))</f>
        <v/>
      </c>
      <c r="E39" s="66"/>
      <c r="F39" s="58"/>
      <c r="G39" s="217" t="str">
        <f t="shared" ref="G39:G42" si="27">IF($A39="","",IF(F39=0,0,E39/F39))</f>
        <v/>
      </c>
      <c r="H39" s="66"/>
      <c r="I39" s="58"/>
      <c r="J39" s="217" t="str">
        <f t="shared" ref="J39:J42" si="28">IF($A39="","",IF(I39=0,0,H39/I39))</f>
        <v/>
      </c>
      <c r="K39" s="71" t="str">
        <f t="shared" ref="K39:K42" si="29">IF($A39="","",SUM(E39,H39))</f>
        <v/>
      </c>
      <c r="L39" s="59" t="str">
        <f t="shared" ref="L39:L42" si="30">IF($A39="","",SUM(F39,I39))</f>
        <v/>
      </c>
      <c r="M39" s="217" t="str">
        <f t="shared" ref="M39:M42" si="31">IF($A39="","",IF(L39=0,0,K39/L39))</f>
        <v/>
      </c>
      <c r="N39" s="71" t="str">
        <f t="shared" ref="N39:N42" si="32">IF($A39="","",SUM(B39,E39,H39))</f>
        <v/>
      </c>
      <c r="O39" s="59" t="str">
        <f t="shared" ref="O39:O42" si="33">IF($A39="","",SUM(C39,F39,I39))</f>
        <v/>
      </c>
      <c r="P39" s="217" t="str">
        <f t="shared" ref="P39:P42" si="34">IF($A39="","",IF(O39=0,0,N39/O39))</f>
        <v/>
      </c>
      <c r="Q39" s="66"/>
      <c r="R39" s="58"/>
      <c r="S39" s="217" t="str">
        <f t="shared" ref="S39:S42" si="35">IF($A39="","",IF(R39=0,0,Q39/R39))</f>
        <v/>
      </c>
      <c r="T39" s="66"/>
      <c r="U39" s="58"/>
      <c r="V39" s="217" t="str">
        <f t="shared" ref="V39:V42" si="36">IF($A39="","",IF(U39=0,0,T39/U39))</f>
        <v/>
      </c>
      <c r="W39" s="66"/>
      <c r="X39" s="58"/>
      <c r="Y39" s="217" t="str">
        <f t="shared" ref="Y39:Y42" si="37">IF($A39="","",IF(X39=0,0,W39/X39))</f>
        <v/>
      </c>
      <c r="Z39" s="71" t="str">
        <f t="shared" ref="Z39:Z42" si="38">IF($A39="","",SUM(T39,W39))</f>
        <v/>
      </c>
      <c r="AA39" s="59" t="str">
        <f t="shared" ref="AA39:AA42" si="39">IF($A39="","",SUM(U39,X39))</f>
        <v/>
      </c>
      <c r="AB39" s="217" t="str">
        <f t="shared" ref="AB39:AB42" si="40">IF($A39="","",IF(AA39=0,0,Z39/AA39))</f>
        <v/>
      </c>
      <c r="AC39" s="71" t="str">
        <f t="shared" ref="AC39:AC42" si="41">IF($A39="","",SUM(Q39,T39,W39))</f>
        <v/>
      </c>
      <c r="AD39" s="59" t="str">
        <f t="shared" ref="AD39:AD42" si="42">IF($A39="","",SUM(R39,U39,X39))</f>
        <v/>
      </c>
      <c r="AE39" s="217" t="str">
        <f t="shared" ref="AE39:AE42" si="43">IF($A39="","",IF(AD39=0,0,AC39/AD39))</f>
        <v/>
      </c>
      <c r="AF39" s="66"/>
      <c r="AG39" s="58"/>
      <c r="AH39" s="217" t="str">
        <f t="shared" ref="AH39:AH42" si="44">IF($A39="","",IF(AG39=0,0,AF39/AG39))</f>
        <v/>
      </c>
      <c r="AI39" s="66"/>
      <c r="AJ39" s="58"/>
      <c r="AK39" s="217" t="str">
        <f t="shared" ref="AK39:AK42" si="45">IF($A39="","",IF(AJ39=0,0,AI39/AJ39))</f>
        <v/>
      </c>
      <c r="AL39" s="66"/>
      <c r="AM39" s="58"/>
      <c r="AN39" s="217" t="str">
        <f t="shared" ref="AN39:AN42" si="46">IF($A39="","",IF(AM39=0,0,AL39/AM39))</f>
        <v/>
      </c>
      <c r="AO39" s="71" t="str">
        <f t="shared" ref="AO39:AO42" si="47">IF($A39="","",SUM(AI39,AL39))</f>
        <v/>
      </c>
      <c r="AP39" s="59" t="str">
        <f t="shared" ref="AP39:AP42" si="48">IF($A39="","",SUM(AJ39,AM39))</f>
        <v/>
      </c>
      <c r="AQ39" s="217" t="str">
        <f t="shared" ref="AQ39:AQ42" si="49">IF($A39="","",IF(AP39=0,0,AO39/AP39))</f>
        <v/>
      </c>
      <c r="AR39" s="71" t="str">
        <f t="shared" ref="AR39:AR42" si="50">IF($A39="","",SUM(AF39,AI39,AL39))</f>
        <v/>
      </c>
      <c r="AS39" s="59" t="str">
        <f t="shared" ref="AS39:AS42" si="51">IF($A39="","",SUM(AG39,AJ39,AM39))</f>
        <v/>
      </c>
      <c r="AT39" s="217" t="str">
        <f t="shared" ref="AT39:AT42" si="52">IF($A39="","",IF(AS39=0,0,AR39/AS39))</f>
        <v/>
      </c>
    </row>
    <row r="40" spans="1:46" ht="18" customHeight="1">
      <c r="A40" s="74" t="str">
        <f>IF($C$9="Data Not Entered On Set-Up Worksheet","",IF(OR(VLOOKUP($C$9,County_Lookup,25,FALSE)="",VLOOKUP($C$9,County_Lookup,25,FALSE)=0),"",VLOOKUP($C$9,County_Lookup,25,FALSE)))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c r="A41" s="74" t="str">
        <f>IF($C$9="Data Not Entered On Set-Up Worksheet","",IF(OR(VLOOKUP($C$9,County_Lookup,26,FALSE)="",VLOOKUP($C$9,County_Lookup,26,FALSE)=0),"",VLOOKUP($C$9,County_Lookup,26,FALSE)))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c r="A42" s="74" t="str">
        <f>IF($C$9="Data Not Entered On Set-Up Worksheet","",IF(OR(VLOOKUP($C$9,County_Lookup,27,FALSE)="",VLOOKUP($C$9,County_Lookup,27,FALSE)=0),"",VLOOKUP($C$9,County_Lookup,27,FALSE)))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c r="A43" s="74" t="str">
        <f>IF($C$9="Data Not Entered On Set-Up Worksheet","",IF(OR(VLOOKUP($C$9,County_Lookup,28,FALSE)="",VLOOKUP($C$9,County_Lookup,28,FALSE)=0),"",VLOOKUP($C$9,County_Lookup,28,FALSE)))</f>
        <v/>
      </c>
      <c r="B43" s="66"/>
      <c r="C43" s="58"/>
      <c r="D43" s="217" t="str">
        <f t="shared" si="8"/>
        <v/>
      </c>
      <c r="E43" s="66"/>
      <c r="F43" s="58"/>
      <c r="G43" s="217" t="str">
        <f t="shared" si="9"/>
        <v/>
      </c>
      <c r="H43" s="66"/>
      <c r="I43" s="58"/>
      <c r="J43" s="217" t="str">
        <f t="shared" si="10"/>
        <v/>
      </c>
      <c r="K43" s="71" t="str">
        <f t="shared" si="11"/>
        <v/>
      </c>
      <c r="L43" s="59" t="str">
        <f t="shared" si="11"/>
        <v/>
      </c>
      <c r="M43" s="217" t="str">
        <f t="shared" si="12"/>
        <v/>
      </c>
      <c r="N43" s="71" t="str">
        <f t="shared" si="2"/>
        <v/>
      </c>
      <c r="O43" s="59" t="str">
        <f t="shared" si="3"/>
        <v/>
      </c>
      <c r="P43" s="217" t="str">
        <f t="shared" si="13"/>
        <v/>
      </c>
      <c r="Q43" s="66"/>
      <c r="R43" s="58"/>
      <c r="S43" s="217" t="str">
        <f t="shared" si="14"/>
        <v/>
      </c>
      <c r="T43" s="66"/>
      <c r="U43" s="58"/>
      <c r="V43" s="217" t="str">
        <f t="shared" si="15"/>
        <v/>
      </c>
      <c r="W43" s="66"/>
      <c r="X43" s="58"/>
      <c r="Y43" s="217" t="str">
        <f t="shared" si="16"/>
        <v/>
      </c>
      <c r="Z43" s="71" t="str">
        <f t="shared" si="17"/>
        <v/>
      </c>
      <c r="AA43" s="59" t="str">
        <f t="shared" si="17"/>
        <v/>
      </c>
      <c r="AB43" s="217" t="str">
        <f t="shared" si="18"/>
        <v/>
      </c>
      <c r="AC43" s="71" t="str">
        <f t="shared" si="4"/>
        <v/>
      </c>
      <c r="AD43" s="59" t="str">
        <f t="shared" si="5"/>
        <v/>
      </c>
      <c r="AE43" s="217" t="str">
        <f t="shared" si="19"/>
        <v/>
      </c>
      <c r="AF43" s="66"/>
      <c r="AG43" s="58"/>
      <c r="AH43" s="217" t="str">
        <f t="shared" si="20"/>
        <v/>
      </c>
      <c r="AI43" s="66"/>
      <c r="AJ43" s="58"/>
      <c r="AK43" s="217" t="str">
        <f t="shared" si="21"/>
        <v/>
      </c>
      <c r="AL43" s="66"/>
      <c r="AM43" s="58"/>
      <c r="AN43" s="217" t="str">
        <f t="shared" si="22"/>
        <v/>
      </c>
      <c r="AO43" s="71" t="str">
        <f t="shared" si="23"/>
        <v/>
      </c>
      <c r="AP43" s="59" t="str">
        <f t="shared" si="23"/>
        <v/>
      </c>
      <c r="AQ43" s="217" t="str">
        <f t="shared" si="24"/>
        <v/>
      </c>
      <c r="AR43" s="71" t="str">
        <f t="shared" si="6"/>
        <v/>
      </c>
      <c r="AS43" s="59" t="str">
        <f t="shared" si="7"/>
        <v/>
      </c>
      <c r="AT43" s="217" t="str">
        <f t="shared" si="25"/>
        <v/>
      </c>
    </row>
    <row r="44" spans="1:46" ht="18" customHeight="1" thickBot="1">
      <c r="A44" s="75" t="s">
        <v>0</v>
      </c>
      <c r="B44" s="68">
        <f>SUM(B17:B43)</f>
        <v>0</v>
      </c>
      <c r="C44" s="69">
        <f>SUM(C17:C43)</f>
        <v>0</v>
      </c>
      <c r="D44" s="218">
        <f t="shared" ref="D44" si="53">IF(C44=0,0,B44/C44)</f>
        <v>0</v>
      </c>
      <c r="E44" s="68">
        <f>SUM(E17:E43)</f>
        <v>0</v>
      </c>
      <c r="F44" s="69">
        <f>SUM(F17:F43)</f>
        <v>0</v>
      </c>
      <c r="G44" s="218">
        <f t="shared" ref="G44" si="54">IF(F44=0,0,E44/F44)</f>
        <v>0</v>
      </c>
      <c r="H44" s="68">
        <f>SUM(H17:H43)</f>
        <v>0</v>
      </c>
      <c r="I44" s="69">
        <f>SUM(I17:I43)</f>
        <v>0</v>
      </c>
      <c r="J44" s="218">
        <f t="shared" ref="J44" si="55">IF(I44=0,0,H44/I44)</f>
        <v>0</v>
      </c>
      <c r="K44" s="68">
        <f>SUM(K17:K43)</f>
        <v>0</v>
      </c>
      <c r="L44" s="69">
        <f>SUM(L17:L43)</f>
        <v>0</v>
      </c>
      <c r="M44" s="218">
        <f t="shared" ref="M44" si="56">IF(L44=0,0,K44/L44)</f>
        <v>0</v>
      </c>
      <c r="N44" s="68">
        <f>SUM(N17:N43)</f>
        <v>0</v>
      </c>
      <c r="O44" s="69">
        <f>SUM(O17:O43)</f>
        <v>0</v>
      </c>
      <c r="P44" s="218">
        <f t="shared" ref="P44" si="57">IF(O44=0,0,N44/O44)</f>
        <v>0</v>
      </c>
      <c r="Q44" s="68">
        <f>SUM(Q17:Q43)</f>
        <v>0</v>
      </c>
      <c r="R44" s="69">
        <f>SUM(R17:R43)</f>
        <v>0</v>
      </c>
      <c r="S44" s="218">
        <f t="shared" ref="S44" si="58">IF(R44=0,0,Q44/R44)</f>
        <v>0</v>
      </c>
      <c r="T44" s="68">
        <f>SUM(T17:T43)</f>
        <v>0</v>
      </c>
      <c r="U44" s="69">
        <f>SUM(U17:U43)</f>
        <v>0</v>
      </c>
      <c r="V44" s="218">
        <f t="shared" ref="V44" si="59">IF(U44=0,0,T44/U44)</f>
        <v>0</v>
      </c>
      <c r="W44" s="68">
        <f>SUM(W17:W43)</f>
        <v>0</v>
      </c>
      <c r="X44" s="69">
        <f>SUM(X17:X43)</f>
        <v>0</v>
      </c>
      <c r="Y44" s="218">
        <f t="shared" ref="Y44" si="60">IF(X44=0,0,W44/X44)</f>
        <v>0</v>
      </c>
      <c r="Z44" s="68">
        <f>SUM(Z17:Z43)</f>
        <v>0</v>
      </c>
      <c r="AA44" s="69">
        <f>SUM(AA17:AA43)</f>
        <v>0</v>
      </c>
      <c r="AB44" s="218">
        <f t="shared" ref="AB44" si="61">IF(AA44=0,0,Z44/AA44)</f>
        <v>0</v>
      </c>
      <c r="AC44" s="68">
        <f>SUM(AC17:AC43)</f>
        <v>0</v>
      </c>
      <c r="AD44" s="69">
        <f>SUM(AD17:AD43)</f>
        <v>0</v>
      </c>
      <c r="AE44" s="218">
        <f t="shared" ref="AE44" si="62">IF(AD44=0,0,AC44/AD44)</f>
        <v>0</v>
      </c>
      <c r="AF44" s="68">
        <f>SUM(AF17:AF43)</f>
        <v>0</v>
      </c>
      <c r="AG44" s="69">
        <f>SUM(AG17:AG43)</f>
        <v>0</v>
      </c>
      <c r="AH44" s="218">
        <f t="shared" ref="AH44" si="63">IF(AG44=0,0,AF44/AG44)</f>
        <v>0</v>
      </c>
      <c r="AI44" s="68">
        <f>SUM(AI17:AI43)</f>
        <v>0</v>
      </c>
      <c r="AJ44" s="69">
        <f>SUM(AJ17:AJ43)</f>
        <v>0</v>
      </c>
      <c r="AK44" s="218">
        <f t="shared" ref="AK44" si="64">IF(AJ44=0,0,AI44/AJ44)</f>
        <v>0</v>
      </c>
      <c r="AL44" s="68">
        <f>SUM(AL17:AL43)</f>
        <v>0</v>
      </c>
      <c r="AM44" s="69">
        <f>SUM(AM17:AM43)</f>
        <v>0</v>
      </c>
      <c r="AN44" s="218">
        <f t="shared" ref="AN44" si="65">IF(AM44=0,0,AL44/AM44)</f>
        <v>0</v>
      </c>
      <c r="AO44" s="68">
        <f>SUM(AO17:AO43)</f>
        <v>0</v>
      </c>
      <c r="AP44" s="69">
        <f>SUM(AP17:AP43)</f>
        <v>0</v>
      </c>
      <c r="AQ44" s="218">
        <f t="shared" ref="AQ44" si="66">IF(AP44=0,0,AO44/AP44)</f>
        <v>0</v>
      </c>
      <c r="AR44" s="68">
        <f>SUM(AR17:AR43)</f>
        <v>0</v>
      </c>
      <c r="AS44" s="69">
        <f>SUM(AS17:AS43)</f>
        <v>0</v>
      </c>
      <c r="AT44" s="218">
        <f t="shared" ref="AT44" si="67">IF(AS44=0,0,AR44/AS44)</f>
        <v>0</v>
      </c>
    </row>
  </sheetData>
  <sheetProtection sheet="1" objects="1" scenarios="1"/>
  <conditionalFormatting sqref="C3:C4">
    <cfRule type="expression" dxfId="772" priority="116">
      <formula>C3="Data Not Entered On Set-Up Worksheet"</formula>
    </cfRule>
  </conditionalFormatting>
  <conditionalFormatting sqref="C9">
    <cfRule type="expression" dxfId="771" priority="115">
      <formula>C9="Data Not Entered On Set-Up Worksheet"</formula>
    </cfRule>
  </conditionalFormatting>
  <conditionalFormatting sqref="C12">
    <cfRule type="expression" dxfId="770" priority="114">
      <formula>C12="Data Not Entered On Set-Up Worksheet"</formula>
    </cfRule>
  </conditionalFormatting>
  <conditionalFormatting sqref="B17:C39 B43:C43">
    <cfRule type="expression" dxfId="769" priority="39">
      <formula>$A17="Other"</formula>
    </cfRule>
    <cfRule type="expression" dxfId="768" priority="113">
      <formula>AND($A17&lt;&gt;"",B17="")</formula>
    </cfRule>
  </conditionalFormatting>
  <conditionalFormatting sqref="F3">
    <cfRule type="expression" dxfId="767" priority="112">
      <formula>F3="Data Not Entered On Set-Up Worksheet"</formula>
    </cfRule>
  </conditionalFormatting>
  <conditionalFormatting sqref="F12">
    <cfRule type="expression" dxfId="766" priority="111">
      <formula>F12="Data Not Entered On Set-Up Worksheet"</formula>
    </cfRule>
  </conditionalFormatting>
  <conditionalFormatting sqref="I3">
    <cfRule type="expression" dxfId="765" priority="110">
      <formula>I3="Data Not Entered On Set-Up Worksheet"</formula>
    </cfRule>
  </conditionalFormatting>
  <conditionalFormatting sqref="I9">
    <cfRule type="expression" dxfId="764" priority="109">
      <formula>I9="Data Not Entered On Set-Up Worksheet"</formula>
    </cfRule>
  </conditionalFormatting>
  <conditionalFormatting sqref="I11:I12">
    <cfRule type="expression" dxfId="763" priority="108">
      <formula>I11="Data Not Entered On Set-Up Worksheet"</formula>
    </cfRule>
  </conditionalFormatting>
  <conditionalFormatting sqref="L3">
    <cfRule type="expression" dxfId="762" priority="107">
      <formula>L3="Data Not Entered On Set-Up Worksheet"</formula>
    </cfRule>
  </conditionalFormatting>
  <conditionalFormatting sqref="L9">
    <cfRule type="expression" dxfId="761" priority="106">
      <formula>L9="Data Not Entered On Set-Up Worksheet"</formula>
    </cfRule>
  </conditionalFormatting>
  <conditionalFormatting sqref="L11:L12">
    <cfRule type="expression" dxfId="760" priority="105">
      <formula>L11="Data Not Entered On Set-Up Worksheet"</formula>
    </cfRule>
  </conditionalFormatting>
  <conditionalFormatting sqref="R3">
    <cfRule type="expression" dxfId="759" priority="104">
      <formula>R3="Data Not Entered On Set-Up Worksheet"</formula>
    </cfRule>
  </conditionalFormatting>
  <conditionalFormatting sqref="R9">
    <cfRule type="expression" dxfId="758" priority="103">
      <formula>R9="Data Not Entered On Set-Up Worksheet"</formula>
    </cfRule>
  </conditionalFormatting>
  <conditionalFormatting sqref="R11:R12">
    <cfRule type="expression" dxfId="757" priority="102">
      <formula>R11="Data Not Entered On Set-Up Worksheet"</formula>
    </cfRule>
  </conditionalFormatting>
  <conditionalFormatting sqref="U3">
    <cfRule type="expression" dxfId="756" priority="101">
      <formula>U3="Data Not Entered On Set-Up Worksheet"</formula>
    </cfRule>
  </conditionalFormatting>
  <conditionalFormatting sqref="U9">
    <cfRule type="expression" dxfId="755" priority="100">
      <formula>U9="Data Not Entered On Set-Up Worksheet"</formula>
    </cfRule>
  </conditionalFormatting>
  <conditionalFormatting sqref="U11:U12">
    <cfRule type="expression" dxfId="754" priority="99">
      <formula>U11="Data Not Entered On Set-Up Worksheet"</formula>
    </cfRule>
  </conditionalFormatting>
  <conditionalFormatting sqref="X3">
    <cfRule type="expression" dxfId="753" priority="98">
      <formula>X3="Data Not Entered On Set-Up Worksheet"</formula>
    </cfRule>
  </conditionalFormatting>
  <conditionalFormatting sqref="X9">
    <cfRule type="expression" dxfId="752" priority="97">
      <formula>X9="Data Not Entered On Set-Up Worksheet"</formula>
    </cfRule>
  </conditionalFormatting>
  <conditionalFormatting sqref="X11:X12">
    <cfRule type="expression" dxfId="751" priority="96">
      <formula>X11="Data Not Entered On Set-Up Worksheet"</formula>
    </cfRule>
  </conditionalFormatting>
  <conditionalFormatting sqref="E17:F39 E43:F43">
    <cfRule type="expression" dxfId="750" priority="38">
      <formula>$A17="Other"</formula>
    </cfRule>
    <cfRule type="expression" dxfId="749" priority="92">
      <formula>AND($A17&lt;&gt;"",E17="")</formula>
    </cfRule>
  </conditionalFormatting>
  <conditionalFormatting sqref="H17:I39 H43:I43">
    <cfRule type="expression" dxfId="748" priority="37">
      <formula>$A17="Other"</formula>
    </cfRule>
    <cfRule type="expression" dxfId="747" priority="91">
      <formula>AND($A17&lt;&gt;"",H17="")</formula>
    </cfRule>
  </conditionalFormatting>
  <conditionalFormatting sqref="Q17:R39 Q43:R43">
    <cfRule type="expression" dxfId="746" priority="90">
      <formula>AND($A17&lt;&gt;"",Q17="")</formula>
    </cfRule>
  </conditionalFormatting>
  <conditionalFormatting sqref="T17:U39 T43:U43">
    <cfRule type="expression" dxfId="745" priority="89">
      <formula>AND($A17&lt;&gt;"",T17="")</formula>
    </cfRule>
  </conditionalFormatting>
  <conditionalFormatting sqref="W17:X39 W43:X43">
    <cfRule type="expression" dxfId="744" priority="88">
      <formula>AND($A17&lt;&gt;"",W17="")</formula>
    </cfRule>
  </conditionalFormatting>
  <conditionalFormatting sqref="AA3">
    <cfRule type="expression" dxfId="743" priority="86">
      <formula>AA3="Data Not Entered On Set-Up Worksheet"</formula>
    </cfRule>
  </conditionalFormatting>
  <conditionalFormatting sqref="AG3">
    <cfRule type="expression" dxfId="742" priority="83">
      <formula>AG3="Data Not Entered On Set-Up Worksheet"</formula>
    </cfRule>
  </conditionalFormatting>
  <conditionalFormatting sqref="AA9">
    <cfRule type="expression" dxfId="741" priority="85">
      <formula>AA9="Data Not Entered On Set-Up Worksheet"</formula>
    </cfRule>
  </conditionalFormatting>
  <conditionalFormatting sqref="AA11:AA12">
    <cfRule type="expression" dxfId="740" priority="84">
      <formula>AA11="Data Not Entered On Set-Up Worksheet"</formula>
    </cfRule>
  </conditionalFormatting>
  <conditionalFormatting sqref="AJ3">
    <cfRule type="expression" dxfId="739" priority="80">
      <formula>AJ3="Data Not Entered On Set-Up Worksheet"</formula>
    </cfRule>
  </conditionalFormatting>
  <conditionalFormatting sqref="AG9">
    <cfRule type="expression" dxfId="738" priority="82">
      <formula>AG9="Data Not Entered On Set-Up Worksheet"</formula>
    </cfRule>
  </conditionalFormatting>
  <conditionalFormatting sqref="AG11:AG12">
    <cfRule type="expression" dxfId="737" priority="81">
      <formula>AG11="Data Not Entered On Set-Up Worksheet"</formula>
    </cfRule>
  </conditionalFormatting>
  <conditionalFormatting sqref="AM3">
    <cfRule type="expression" dxfId="736" priority="77">
      <formula>AM3="Data Not Entered On Set-Up Worksheet"</formula>
    </cfRule>
  </conditionalFormatting>
  <conditionalFormatting sqref="AJ9">
    <cfRule type="expression" dxfId="735" priority="79">
      <formula>AJ9="Data Not Entered On Set-Up Worksheet"</formula>
    </cfRule>
  </conditionalFormatting>
  <conditionalFormatting sqref="AJ11:AJ12">
    <cfRule type="expression" dxfId="734" priority="78">
      <formula>AJ11="Data Not Entered On Set-Up Worksheet"</formula>
    </cfRule>
  </conditionalFormatting>
  <conditionalFormatting sqref="AM9">
    <cfRule type="expression" dxfId="733" priority="76">
      <formula>AM9="Data Not Entered On Set-Up Worksheet"</formula>
    </cfRule>
  </conditionalFormatting>
  <conditionalFormatting sqref="AM11:AM12">
    <cfRule type="expression" dxfId="732" priority="75">
      <formula>AM11="Data Not Entered On Set-Up Worksheet"</formula>
    </cfRule>
  </conditionalFormatting>
  <conditionalFormatting sqref="AF17:AG39 AF43:AG43">
    <cfRule type="expression" dxfId="731" priority="74">
      <formula>AND($A17&lt;&gt;"",AF17="")</formula>
    </cfRule>
  </conditionalFormatting>
  <conditionalFormatting sqref="AI17:AJ39 AI43:AJ43">
    <cfRule type="expression" dxfId="730" priority="73">
      <formula>AND($A17&lt;&gt;"",AI17="")</formula>
    </cfRule>
  </conditionalFormatting>
  <conditionalFormatting sqref="AL17:AM39 AL43:AM43">
    <cfRule type="expression" dxfId="729" priority="72">
      <formula>AND($A17&lt;&gt;"",AL17="")</formula>
    </cfRule>
  </conditionalFormatting>
  <conditionalFormatting sqref="AP3">
    <cfRule type="expression" dxfId="728" priority="71">
      <formula>AP3="Data Not Entered On Set-Up Worksheet"</formula>
    </cfRule>
  </conditionalFormatting>
  <conditionalFormatting sqref="AP9">
    <cfRule type="expression" dxfId="727" priority="70">
      <formula>AP9="Data Not Entered On Set-Up Worksheet"</formula>
    </cfRule>
  </conditionalFormatting>
  <conditionalFormatting sqref="AP11:AP12">
    <cfRule type="expression" dxfId="726" priority="69">
      <formula>AP11="Data Not Entered On Set-Up Worksheet"</formula>
    </cfRule>
  </conditionalFormatting>
  <conditionalFormatting sqref="F10:F11">
    <cfRule type="expression" dxfId="725" priority="59">
      <formula>F10="Data Not Entered On Set-Up Worksheet"</formula>
    </cfRule>
  </conditionalFormatting>
  <conditionalFormatting sqref="C11">
    <cfRule type="expression" dxfId="724" priority="58">
      <formula>C11="Data Not Entered On Set-Up Worksheet"</formula>
    </cfRule>
  </conditionalFormatting>
  <conditionalFormatting sqref="O3">
    <cfRule type="expression" dxfId="723" priority="57">
      <formula>O3="Data Not Entered On Set-Up Worksheet"</formula>
    </cfRule>
  </conditionalFormatting>
  <conditionalFormatting sqref="O9">
    <cfRule type="expression" dxfId="722" priority="56">
      <formula>O9="Data Not Entered On Set-Up Worksheet"</formula>
    </cfRule>
  </conditionalFormatting>
  <conditionalFormatting sqref="O11:O12">
    <cfRule type="expression" dxfId="721" priority="55">
      <formula>O11="Data Not Entered On Set-Up Worksheet"</formula>
    </cfRule>
  </conditionalFormatting>
  <conditionalFormatting sqref="AD3">
    <cfRule type="expression" dxfId="720" priority="54">
      <formula>AD3="Data Not Entered On Set-Up Worksheet"</formula>
    </cfRule>
  </conditionalFormatting>
  <conditionalFormatting sqref="AD9">
    <cfRule type="expression" dxfId="719" priority="53">
      <formula>AD9="Data Not Entered On Set-Up Worksheet"</formula>
    </cfRule>
  </conditionalFormatting>
  <conditionalFormatting sqref="AD11:AD12">
    <cfRule type="expression" dxfId="718" priority="52">
      <formula>AD11="Data Not Entered On Set-Up Worksheet"</formula>
    </cfRule>
  </conditionalFormatting>
  <conditionalFormatting sqref="AS3">
    <cfRule type="expression" dxfId="717" priority="51">
      <formula>AS3="Data Not Entered On Set-Up Worksheet"</formula>
    </cfRule>
  </conditionalFormatting>
  <conditionalFormatting sqref="AS9">
    <cfRule type="expression" dxfId="716" priority="50">
      <formula>AS9="Data Not Entered On Set-Up Worksheet"</formula>
    </cfRule>
  </conditionalFormatting>
  <conditionalFormatting sqref="AS11:AS12">
    <cfRule type="expression" dxfId="715" priority="49">
      <formula>AS11="Data Not Entered On Set-Up Worksheet"</formula>
    </cfRule>
  </conditionalFormatting>
  <conditionalFormatting sqref="B40:C40">
    <cfRule type="expression" dxfId="714" priority="27">
      <formula>$A40="Other"</formula>
    </cfRule>
    <cfRule type="expression" dxfId="713" priority="36">
      <formula>AND($A40&lt;&gt;"",B40="")</formula>
    </cfRule>
  </conditionalFormatting>
  <conditionalFormatting sqref="E40:F40">
    <cfRule type="expression" dxfId="712" priority="26">
      <formula>$A40="Other"</formula>
    </cfRule>
    <cfRule type="expression" dxfId="711" priority="35">
      <formula>AND($A40&lt;&gt;"",E40="")</formula>
    </cfRule>
  </conditionalFormatting>
  <conditionalFormatting sqref="H40:I40">
    <cfRule type="expression" dxfId="710" priority="25">
      <formula>$A40="Other"</formula>
    </cfRule>
    <cfRule type="expression" dxfId="709" priority="34">
      <formula>AND($A40&lt;&gt;"",H40="")</formula>
    </cfRule>
  </conditionalFormatting>
  <conditionalFormatting sqref="Q40:R40">
    <cfRule type="expression" dxfId="708" priority="33">
      <formula>AND($A40&lt;&gt;"",Q40="")</formula>
    </cfRule>
  </conditionalFormatting>
  <conditionalFormatting sqref="T40:U40">
    <cfRule type="expression" dxfId="707" priority="32">
      <formula>AND($A40&lt;&gt;"",T40="")</formula>
    </cfRule>
  </conditionalFormatting>
  <conditionalFormatting sqref="W40:X40">
    <cfRule type="expression" dxfId="706" priority="31">
      <formula>AND($A40&lt;&gt;"",W40="")</formula>
    </cfRule>
  </conditionalFormatting>
  <conditionalFormatting sqref="AF40:AG40">
    <cfRule type="expression" dxfId="705" priority="30">
      <formula>AND($A40&lt;&gt;"",AF40="")</formula>
    </cfRule>
  </conditionalFormatting>
  <conditionalFormatting sqref="AI40:AJ40">
    <cfRule type="expression" dxfId="704" priority="29">
      <formula>AND($A40&lt;&gt;"",AI40="")</formula>
    </cfRule>
  </conditionalFormatting>
  <conditionalFormatting sqref="AL40:AM40">
    <cfRule type="expression" dxfId="703" priority="28">
      <formula>AND($A40&lt;&gt;"",AL40="")</formula>
    </cfRule>
  </conditionalFormatting>
  <conditionalFormatting sqref="B41:C41">
    <cfRule type="expression" dxfId="702" priority="15">
      <formula>$A41="Other"</formula>
    </cfRule>
    <cfRule type="expression" dxfId="701" priority="24">
      <formula>AND($A41&lt;&gt;"",B41="")</formula>
    </cfRule>
  </conditionalFormatting>
  <conditionalFormatting sqref="E41:F41">
    <cfRule type="expression" dxfId="700" priority="14">
      <formula>$A41="Other"</formula>
    </cfRule>
    <cfRule type="expression" dxfId="699" priority="23">
      <formula>AND($A41&lt;&gt;"",E41="")</formula>
    </cfRule>
  </conditionalFormatting>
  <conditionalFormatting sqref="H41:I41">
    <cfRule type="expression" dxfId="698" priority="13">
      <formula>$A41="Other"</formula>
    </cfRule>
    <cfRule type="expression" dxfId="697" priority="22">
      <formula>AND($A41&lt;&gt;"",H41="")</formula>
    </cfRule>
  </conditionalFormatting>
  <conditionalFormatting sqref="Q41:R41">
    <cfRule type="expression" dxfId="696" priority="21">
      <formula>AND($A41&lt;&gt;"",Q41="")</formula>
    </cfRule>
  </conditionalFormatting>
  <conditionalFormatting sqref="T41:U41">
    <cfRule type="expression" dxfId="695" priority="20">
      <formula>AND($A41&lt;&gt;"",T41="")</formula>
    </cfRule>
  </conditionalFormatting>
  <conditionalFormatting sqref="W41:X41">
    <cfRule type="expression" dxfId="694" priority="19">
      <formula>AND($A41&lt;&gt;"",W41="")</formula>
    </cfRule>
  </conditionalFormatting>
  <conditionalFormatting sqref="AF41:AG41">
    <cfRule type="expression" dxfId="693" priority="18">
      <formula>AND($A41&lt;&gt;"",AF41="")</formula>
    </cfRule>
  </conditionalFormatting>
  <conditionalFormatting sqref="AI41:AJ41">
    <cfRule type="expression" dxfId="692" priority="17">
      <formula>AND($A41&lt;&gt;"",AI41="")</formula>
    </cfRule>
  </conditionalFormatting>
  <conditionalFormatting sqref="AL41:AM41">
    <cfRule type="expression" dxfId="691" priority="16">
      <formula>AND($A41&lt;&gt;"",AL41="")</formula>
    </cfRule>
  </conditionalFormatting>
  <conditionalFormatting sqref="B42:C42">
    <cfRule type="expression" dxfId="690" priority="3">
      <formula>$A42="Other"</formula>
    </cfRule>
    <cfRule type="expression" dxfId="689" priority="12">
      <formula>AND($A42&lt;&gt;"",B42="")</formula>
    </cfRule>
  </conditionalFormatting>
  <conditionalFormatting sqref="E42:F42">
    <cfRule type="expression" dxfId="688" priority="2">
      <formula>$A42="Other"</formula>
    </cfRule>
    <cfRule type="expression" dxfId="687" priority="11">
      <formula>AND($A42&lt;&gt;"",E42="")</formula>
    </cfRule>
  </conditionalFormatting>
  <conditionalFormatting sqref="H42:I42">
    <cfRule type="expression" dxfId="686" priority="1">
      <formula>$A42="Other"</formula>
    </cfRule>
    <cfRule type="expression" dxfId="685" priority="10">
      <formula>AND($A42&lt;&gt;"",H42="")</formula>
    </cfRule>
  </conditionalFormatting>
  <conditionalFormatting sqref="Q42:R42">
    <cfRule type="expression" dxfId="684" priority="9">
      <formula>AND($A42&lt;&gt;"",Q42="")</formula>
    </cfRule>
  </conditionalFormatting>
  <conditionalFormatting sqref="T42:U42">
    <cfRule type="expression" dxfId="683" priority="8">
      <formula>AND($A42&lt;&gt;"",T42="")</formula>
    </cfRule>
  </conditionalFormatting>
  <conditionalFormatting sqref="W42:X42">
    <cfRule type="expression" dxfId="682" priority="7">
      <formula>AND($A42&lt;&gt;"",W42="")</formula>
    </cfRule>
  </conditionalFormatting>
  <conditionalFormatting sqref="AF42:AG42">
    <cfRule type="expression" dxfId="681" priority="6">
      <formula>AND($A42&lt;&gt;"",AF42="")</formula>
    </cfRule>
  </conditionalFormatting>
  <conditionalFormatting sqref="AI42:AJ42">
    <cfRule type="expression" dxfId="680" priority="5">
      <formula>AND($A42&lt;&gt;"",AI42="")</formula>
    </cfRule>
  </conditionalFormatting>
  <conditionalFormatting sqref="AL42:AM42">
    <cfRule type="expression" dxfId="679" priority="4">
      <formula>AND($A42&lt;&gt;"",AL42="")</formula>
    </cfRule>
  </conditionalFormatting>
  <pageMargins left="0.5" right="0.5" top="0.5" bottom="0.5" header="0.3" footer="0.3"/>
  <pageSetup scale="5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BF4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14.7109375" style="22" customWidth="1"/>
    <col min="47" max="47" width="8.85546875" style="22" bestFit="1" customWidth="1"/>
    <col min="48" max="16384" width="9.140625" style="22"/>
  </cols>
  <sheetData>
    <row r="1" spans="1:58" ht="15" customHeight="1">
      <c r="A1" s="35" t="s">
        <v>23</v>
      </c>
      <c r="N1" s="30"/>
      <c r="Q1" s="30" t="s">
        <v>254</v>
      </c>
      <c r="AC1" s="30"/>
      <c r="AF1" s="30" t="s">
        <v>254</v>
      </c>
      <c r="AR1" s="30"/>
    </row>
    <row r="2" spans="1:58" ht="15" customHeight="1">
      <c r="A2" s="35" t="s">
        <v>187</v>
      </c>
      <c r="N2" s="214"/>
      <c r="Q2" s="214" t="s">
        <v>255</v>
      </c>
      <c r="AC2" s="214"/>
      <c r="AF2" s="214" t="s">
        <v>255</v>
      </c>
      <c r="AR2" s="214"/>
    </row>
    <row r="3" spans="1:58" ht="15" customHeight="1">
      <c r="A3" s="30" t="s">
        <v>185</v>
      </c>
      <c r="C3" s="138">
        <f>IF('Set-Up Worksheet'!F3="","Data Not Entered On Set-Up Worksheet",'Set-Up Worksheet'!F3)</f>
        <v>2021</v>
      </c>
      <c r="F3" s="37"/>
      <c r="I3" s="37"/>
      <c r="L3" s="37"/>
      <c r="O3" s="138"/>
      <c r="R3" s="138">
        <f t="shared" ref="R3:R11" si="0">C3</f>
        <v>2021</v>
      </c>
      <c r="U3" s="37"/>
      <c r="X3" s="37"/>
      <c r="AA3" s="37"/>
      <c r="AD3" s="138"/>
      <c r="AG3" s="138">
        <f t="shared" ref="AG3:AG11" si="1">C3</f>
        <v>2021</v>
      </c>
      <c r="AJ3" s="37"/>
      <c r="AM3" s="37"/>
      <c r="AP3" s="37"/>
      <c r="AS3" s="138"/>
    </row>
    <row r="4" spans="1:58" ht="15" customHeight="1">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c r="A5" s="30"/>
      <c r="C5" s="32"/>
      <c r="F5" s="32"/>
      <c r="I5" s="32"/>
      <c r="L5" s="32"/>
      <c r="O5" s="38"/>
      <c r="R5" s="38"/>
      <c r="U5" s="32"/>
      <c r="X5" s="32"/>
      <c r="AA5" s="32"/>
      <c r="AD5" s="38"/>
      <c r="AG5" s="38"/>
      <c r="AJ5" s="32"/>
      <c r="AM5" s="32"/>
      <c r="AP5" s="32"/>
      <c r="AS5" s="38"/>
    </row>
    <row r="6" spans="1:58" ht="15" customHeight="1">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c r="A7" s="30" t="s">
        <v>270</v>
      </c>
      <c r="C7" s="32"/>
      <c r="F7" s="32"/>
      <c r="I7" s="32"/>
      <c r="L7" s="32"/>
      <c r="N7" s="214"/>
      <c r="O7" s="38"/>
      <c r="Q7" s="214" t="s">
        <v>271</v>
      </c>
      <c r="R7" s="38"/>
      <c r="U7" s="32"/>
      <c r="X7" s="32"/>
      <c r="AA7" s="32"/>
      <c r="AC7" s="214"/>
      <c r="AD7" s="38"/>
      <c r="AF7" s="214" t="s">
        <v>271</v>
      </c>
      <c r="AG7" s="38"/>
      <c r="AJ7" s="32"/>
      <c r="AM7" s="32"/>
      <c r="AP7" s="32"/>
      <c r="AR7" s="214"/>
      <c r="AS7" s="38"/>
    </row>
    <row r="8" spans="1:58" ht="15" customHeight="1">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c r="A11" s="30" t="s">
        <v>188</v>
      </c>
      <c r="C11" s="39" t="str">
        <f>IF(C4="Data Not Entered On Set-Up Worksheet","Data Not Entered On Set-Up Worksheet",IF(C4="1st Quarter",'Report Schedule'!D25,IF(C4="2nd Quarter",'Report Schedule'!E25,IF(C4="3rd Quarter",'Report Schedule'!F25,IF(C4="4th Quarter",'Report Schedule'!G25,"")))))</f>
        <v>Apr - Jun 2020</v>
      </c>
      <c r="F11" s="76"/>
      <c r="I11" s="39"/>
      <c r="L11" s="39"/>
      <c r="O11" s="39"/>
      <c r="R11" s="39" t="str">
        <f t="shared" si="0"/>
        <v>Apr - Jun 2020</v>
      </c>
      <c r="U11" s="39"/>
      <c r="X11" s="39"/>
      <c r="AA11" s="39"/>
      <c r="AD11" s="39"/>
      <c r="AG11" s="39" t="str">
        <f t="shared" si="1"/>
        <v>Apr - Jun 2020</v>
      </c>
      <c r="AJ11" s="39"/>
      <c r="AM11" s="39"/>
      <c r="AP11" s="39"/>
      <c r="AS11" s="39"/>
    </row>
    <row r="12" spans="1:58" ht="15" customHeight="1" thickBot="1">
      <c r="A12" s="30"/>
      <c r="C12" s="39"/>
      <c r="F12" s="76"/>
      <c r="I12" s="39"/>
      <c r="L12" s="39"/>
      <c r="O12" s="39"/>
      <c r="R12" s="39"/>
      <c r="U12" s="39"/>
      <c r="X12" s="39"/>
      <c r="AA12" s="39"/>
      <c r="AD12" s="39"/>
      <c r="AG12" s="39"/>
      <c r="AJ12" s="39"/>
      <c r="AM12" s="39"/>
      <c r="AP12" s="39"/>
      <c r="AS12" s="39"/>
    </row>
    <row r="13" spans="1:58" ht="18" customHeight="1" thickBot="1">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5" thickBot="1">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50000000000003" customHeight="1">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c r="A17" s="73" t="str">
        <f>IF($C$9="Data Not Entered On Set-Up Worksheet","",IF(OR(VLOOKUP($C$9,County_Lookup,2,FALSE)="",VLOOKUP($C$9,County_Lookup,2,FALSE)=0),"",VLOOKUP($C$9,County_Lookup,2,FALSE)))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43" si="2">IF($A17="","",SUM(B17,E17,H17))</f>
        <v/>
      </c>
      <c r="O17" s="59" t="str">
        <f t="shared" ref="O17:O43"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43" si="4">IF($A17="","",SUM(Q17,T17,W17))</f>
        <v/>
      </c>
      <c r="AD17" s="59" t="str">
        <f t="shared" ref="AD17:AD43"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43" si="6">IF($A17="","",SUM(AF17,AI17,AL17))</f>
        <v/>
      </c>
      <c r="AS17" s="59" t="str">
        <f t="shared" ref="AS17:AS43" si="7">IF($A17="","",SUM(AG17,AJ17,AM17))</f>
        <v/>
      </c>
      <c r="AT17" s="217" t="str">
        <f>IF($A17="","",IF(AS17=0,0,AR17/AS17))</f>
        <v/>
      </c>
    </row>
    <row r="18" spans="1:46" ht="18" customHeight="1">
      <c r="A18" s="74" t="str">
        <f>IF($C$9="Data Not Entered On Set-Up Worksheet","",IF(OR(VLOOKUP($C$9,County_Lookup,3,FALSE)="",VLOOKUP($C$9,County_Lookup,3,FALSE)=0),"",VLOOKUP($C$9,County_Lookup,3,FALSE)))</f>
        <v/>
      </c>
      <c r="B18" s="66"/>
      <c r="C18" s="58"/>
      <c r="D18" s="217" t="str">
        <f t="shared" ref="D18:D43" si="8">IF($A18="","",IF(C18=0,0,B18/C18))</f>
        <v/>
      </c>
      <c r="E18" s="66"/>
      <c r="F18" s="58"/>
      <c r="G18" s="217" t="str">
        <f t="shared" ref="G18:G43" si="9">IF($A18="","",IF(F18=0,0,E18/F18))</f>
        <v/>
      </c>
      <c r="H18" s="66"/>
      <c r="I18" s="58"/>
      <c r="J18" s="217" t="str">
        <f t="shared" ref="J18:J43" si="10">IF($A18="","",IF(I18=0,0,H18/I18))</f>
        <v/>
      </c>
      <c r="K18" s="71" t="str">
        <f t="shared" ref="K18:L43" si="11">IF($A18="","",SUM(E18,H18))</f>
        <v/>
      </c>
      <c r="L18" s="59" t="str">
        <f t="shared" si="11"/>
        <v/>
      </c>
      <c r="M18" s="217" t="str">
        <f t="shared" ref="M18:M43" si="12">IF($A18="","",IF(L18=0,0,K18/L18))</f>
        <v/>
      </c>
      <c r="N18" s="71" t="str">
        <f t="shared" si="2"/>
        <v/>
      </c>
      <c r="O18" s="59" t="str">
        <f t="shared" si="3"/>
        <v/>
      </c>
      <c r="P18" s="217" t="str">
        <f t="shared" ref="P18:P43" si="13">IF($A18="","",IF(O18=0,0,N18/O18))</f>
        <v/>
      </c>
      <c r="Q18" s="66"/>
      <c r="R18" s="58"/>
      <c r="S18" s="217" t="str">
        <f t="shared" ref="S18:S43" si="14">IF($A18="","",IF(R18=0,0,Q18/R18))</f>
        <v/>
      </c>
      <c r="T18" s="66"/>
      <c r="U18" s="58"/>
      <c r="V18" s="217" t="str">
        <f t="shared" ref="V18:V43" si="15">IF($A18="","",IF(U18=0,0,T18/U18))</f>
        <v/>
      </c>
      <c r="W18" s="66"/>
      <c r="X18" s="58"/>
      <c r="Y18" s="217" t="str">
        <f t="shared" ref="Y18:Y43" si="16">IF($A18="","",IF(X18=0,0,W18/X18))</f>
        <v/>
      </c>
      <c r="Z18" s="71" t="str">
        <f t="shared" ref="Z18:AA43" si="17">IF($A18="","",SUM(T18,W18))</f>
        <v/>
      </c>
      <c r="AA18" s="59" t="str">
        <f t="shared" si="17"/>
        <v/>
      </c>
      <c r="AB18" s="217" t="str">
        <f t="shared" ref="AB18:AB43" si="18">IF($A18="","",IF(AA18=0,0,Z18/AA18))</f>
        <v/>
      </c>
      <c r="AC18" s="71" t="str">
        <f t="shared" si="4"/>
        <v/>
      </c>
      <c r="AD18" s="59" t="str">
        <f t="shared" si="5"/>
        <v/>
      </c>
      <c r="AE18" s="217" t="str">
        <f t="shared" ref="AE18:AE43" si="19">IF($A18="","",IF(AD18=0,0,AC18/AD18))</f>
        <v/>
      </c>
      <c r="AF18" s="66"/>
      <c r="AG18" s="58"/>
      <c r="AH18" s="217" t="str">
        <f t="shared" ref="AH18:AH43" si="20">IF($A18="","",IF(AG18=0,0,AF18/AG18))</f>
        <v/>
      </c>
      <c r="AI18" s="66"/>
      <c r="AJ18" s="58"/>
      <c r="AK18" s="217" t="str">
        <f t="shared" ref="AK18:AK43" si="21">IF($A18="","",IF(AJ18=0,0,AI18/AJ18))</f>
        <v/>
      </c>
      <c r="AL18" s="66"/>
      <c r="AM18" s="58"/>
      <c r="AN18" s="217" t="str">
        <f t="shared" ref="AN18:AN43" si="22">IF($A18="","",IF(AM18=0,0,AL18/AM18))</f>
        <v/>
      </c>
      <c r="AO18" s="71" t="str">
        <f t="shared" ref="AO18:AP43" si="23">IF($A18="","",SUM(AI18,AL18))</f>
        <v/>
      </c>
      <c r="AP18" s="59" t="str">
        <f t="shared" si="23"/>
        <v/>
      </c>
      <c r="AQ18" s="217" t="str">
        <f t="shared" ref="AQ18:AQ43" si="24">IF($A18="","",IF(AP18=0,0,AO18/AP18))</f>
        <v/>
      </c>
      <c r="AR18" s="71" t="str">
        <f t="shared" si="6"/>
        <v/>
      </c>
      <c r="AS18" s="59" t="str">
        <f t="shared" si="7"/>
        <v/>
      </c>
      <c r="AT18" s="217" t="str">
        <f t="shared" ref="AT18:AT43" si="25">IF($A18="","",IF(AS18=0,0,AR18/AS18))</f>
        <v/>
      </c>
    </row>
    <row r="19" spans="1:46" ht="18" customHeight="1">
      <c r="A19" s="74" t="str">
        <f>IF($C$9="Data Not Entered On Set-Up Worksheet","",IF(OR(VLOOKUP($C$9,County_Lookup,4,FALSE)="",VLOOKUP($C$9,County_Lookup,4,FALSE)=0),"",VLOOKUP($C$9,County_Lookup,4,FALSE)))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c r="A20" s="74" t="str">
        <f>IF($C$9="Data Not Entered On Set-Up Worksheet","",IF(OR(VLOOKUP($C$9,County_Lookup,5,FALSE)="",VLOOKUP($C$9,County_Lookup,5,FALSE)=0),"",VLOOKUP($C$9,County_Lookup,5,FALSE)))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c r="A21" s="74" t="str">
        <f>IF($C$9="Data Not Entered On Set-Up Worksheet","",IF(OR(VLOOKUP($C$9,County_Lookup,6,FALSE)="",VLOOKUP($C$9,County_Lookup,6,FALSE)=0),"",VLOOKUP($C$9,County_Lookup,6,FALSE)))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c r="A22" s="74" t="str">
        <f>IF($C$9="Data Not Entered On Set-Up Worksheet","",IF(OR(VLOOKUP($C$9,County_Lookup,7,FALSE)="",VLOOKUP($C$9,County_Lookup,7,FALSE)=0),"",VLOOKUP($C$9,County_Lookup,7,FALSE)))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c r="A23" s="73" t="str">
        <f>IF($C$9="Data Not Entered On Set-Up Worksheet","",IF(OR(VLOOKUP($C$9,County_Lookup,8,FALSE)="",VLOOKUP($C$9,County_Lookup,8,FALSE)=0),"",VLOOKUP($C$9,County_Lookup,8,FALSE)))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c r="A24" s="74" t="str">
        <f>IF($C$9="Data Not Entered On Set-Up Worksheet","",IF(OR(VLOOKUP($C$9,County_Lookup,9,FALSE)="",VLOOKUP($C$9,County_Lookup,9,FALSE)=0),"",VLOOKUP($C$9,County_Lookup,9,FALSE)))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c r="A25" s="74" t="str">
        <f>IF($C$9="Data Not Entered On Set-Up Worksheet","",IF(OR(VLOOKUP($C$9,County_Lookup,10,FALSE)="",VLOOKUP($C$9,County_Lookup,10,FALSE)=0),"",VLOOKUP($C$9,County_Lookup,10,FALSE)))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c r="A26" s="74" t="str">
        <f>IF($C$9="Data Not Entered On Set-Up Worksheet","",IF(OR(VLOOKUP($C$9,County_Lookup,11,FALSE)="",VLOOKUP($C$9,County_Lookup,11,FALSE)=0),"",VLOOKUP($C$9,County_Lookup,11,FALSE)))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c r="A27" s="74" t="str">
        <f>IF($C$9="Data Not Entered On Set-Up Worksheet","",IF(OR(VLOOKUP($C$9,County_Lookup,12,FALSE)="",VLOOKUP($C$9,County_Lookup,12,FALSE)=0),"",VLOOKUP($C$9,County_Lookup,12,FALSE)))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c r="A28" s="74" t="str">
        <f>IF($C$9="Data Not Entered On Set-Up Worksheet","",IF(OR(VLOOKUP($C$9,County_Lookup,13,FALSE)="",VLOOKUP($C$9,County_Lookup,13,FALSE)=0),"",VLOOKUP($C$9,County_Lookup,13,FALSE)))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c r="A29" s="74" t="str">
        <f>IF($C$9="Data Not Entered On Set-Up Worksheet","",IF(OR(VLOOKUP($C$9,County_Lookup,14,FALSE)="",VLOOKUP($C$9,County_Lookup,14,FALSE)=0),"",VLOOKUP($C$9,County_Lookup,14,FALSE)))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c r="A30" s="73" t="str">
        <f>IF($C$9="Data Not Entered On Set-Up Worksheet","",IF(OR(VLOOKUP($C$9,County_Lookup,15,FALSE)="",VLOOKUP($C$9,County_Lookup,15,FALSE)=0),"",VLOOKUP($C$9,County_Lookup,15,FALSE)))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c r="A31" s="74" t="str">
        <f>IF($C$9="Data Not Entered On Set-Up Worksheet","",IF(OR(VLOOKUP($C$9,County_Lookup,16,FALSE)="",VLOOKUP($C$9,County_Lookup,16,FALSE)=0),"",VLOOKUP($C$9,County_Lookup,16,FALSE)))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c r="A32" s="74" t="str">
        <f>IF($C$9="Data Not Entered On Set-Up Worksheet","",IF(OR(VLOOKUP($C$9,County_Lookup,17,FALSE)="",VLOOKUP($C$9,County_Lookup,17,FALSE)=0),"",VLOOKUP($C$9,County_Lookup,17,FALSE)))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c r="A33" s="74" t="str">
        <f>IF($C$9="Data Not Entered On Set-Up Worksheet","",IF(OR(VLOOKUP($C$9,County_Lookup,18,FALSE)="",VLOOKUP($C$9,County_Lookup,18,FALSE)=0),"",VLOOKUP($C$9,County_Lookup,18,FALSE)))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c r="A34" s="74" t="str">
        <f>IF($C$9="Data Not Entered On Set-Up Worksheet","",IF(OR(VLOOKUP($C$9,County_Lookup,19,FALSE)="",VLOOKUP($C$9,County_Lookup,19,FALSE)=0),"",VLOOKUP($C$9,County_Lookup,19,FALSE)))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c r="A35" s="74" t="str">
        <f>IF($C$9="Data Not Entered On Set-Up Worksheet","",IF(OR(VLOOKUP($C$9,County_Lookup,20,FALSE)="",VLOOKUP($C$9,County_Lookup,20,FALSE)=0),"",VLOOKUP($C$9,County_Lookup,20,FALSE)))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c r="A36" s="74" t="str">
        <f>IF($C$9="Data Not Entered On Set-Up Worksheet","",IF(OR(VLOOKUP($C$9,County_Lookup,21,FALSE)="",VLOOKUP($C$9,County_Lookup,21,FALSE)=0),"",VLOOKUP($C$9,County_Lookup,21,FALSE)))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c r="A37" s="73" t="str">
        <f>IF($C$9="Data Not Entered On Set-Up Worksheet","",IF(OR(VLOOKUP($C$9,County_Lookup,22,FALSE)="",VLOOKUP($C$9,County_Lookup,22,FALSE)=0),"",VLOOKUP($C$9,County_Lookup,22,FALSE)))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c r="A38" s="74" t="str">
        <f>IF($C$9="Data Not Entered On Set-Up Worksheet","",IF(OR(VLOOKUP($C$9,County_Lookup,23,FALSE)="",VLOOKUP($C$9,County_Lookup,23,FALSE)=0),"",VLOOKUP($C$9,County_Lookup,23,FALSE)))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c r="A39" s="74" t="str">
        <f>IF($C$9="Data Not Entered On Set-Up Worksheet","",IF(OR(VLOOKUP($C$9,County_Lookup,24,FALSE)="",VLOOKUP($C$9,County_Lookup,24,FALSE)=0),"",VLOOKUP($C$9,County_Lookup,24,FALSE)))</f>
        <v/>
      </c>
      <c r="B39" s="66"/>
      <c r="C39" s="58"/>
      <c r="D39" s="217" t="str">
        <f t="shared" ref="D39:D42" si="26">IF($A39="","",IF(C39=0,0,B39/C39))</f>
        <v/>
      </c>
      <c r="E39" s="66"/>
      <c r="F39" s="58"/>
      <c r="G39" s="217" t="str">
        <f t="shared" ref="G39:G42" si="27">IF($A39="","",IF(F39=0,0,E39/F39))</f>
        <v/>
      </c>
      <c r="H39" s="66"/>
      <c r="I39" s="58"/>
      <c r="J39" s="217" t="str">
        <f t="shared" ref="J39:J42" si="28">IF($A39="","",IF(I39=0,0,H39/I39))</f>
        <v/>
      </c>
      <c r="K39" s="71" t="str">
        <f t="shared" ref="K39:K42" si="29">IF($A39="","",SUM(E39,H39))</f>
        <v/>
      </c>
      <c r="L39" s="59" t="str">
        <f t="shared" ref="L39:L42" si="30">IF($A39="","",SUM(F39,I39))</f>
        <v/>
      </c>
      <c r="M39" s="217" t="str">
        <f t="shared" ref="M39:M42" si="31">IF($A39="","",IF(L39=0,0,K39/L39))</f>
        <v/>
      </c>
      <c r="N39" s="71" t="str">
        <f t="shared" ref="N39:N42" si="32">IF($A39="","",SUM(B39,E39,H39))</f>
        <v/>
      </c>
      <c r="O39" s="59" t="str">
        <f t="shared" ref="O39:O42" si="33">IF($A39="","",SUM(C39,F39,I39))</f>
        <v/>
      </c>
      <c r="P39" s="217" t="str">
        <f t="shared" ref="P39:P42" si="34">IF($A39="","",IF(O39=0,0,N39/O39))</f>
        <v/>
      </c>
      <c r="Q39" s="66"/>
      <c r="R39" s="58"/>
      <c r="S39" s="217" t="str">
        <f t="shared" ref="S39:S42" si="35">IF($A39="","",IF(R39=0,0,Q39/R39))</f>
        <v/>
      </c>
      <c r="T39" s="66"/>
      <c r="U39" s="58"/>
      <c r="V39" s="217" t="str">
        <f t="shared" ref="V39:V42" si="36">IF($A39="","",IF(U39=0,0,T39/U39))</f>
        <v/>
      </c>
      <c r="W39" s="66"/>
      <c r="X39" s="58"/>
      <c r="Y39" s="217" t="str">
        <f t="shared" ref="Y39:Y42" si="37">IF($A39="","",IF(X39=0,0,W39/X39))</f>
        <v/>
      </c>
      <c r="Z39" s="71" t="str">
        <f t="shared" ref="Z39:Z42" si="38">IF($A39="","",SUM(T39,W39))</f>
        <v/>
      </c>
      <c r="AA39" s="59" t="str">
        <f t="shared" ref="AA39:AA42" si="39">IF($A39="","",SUM(U39,X39))</f>
        <v/>
      </c>
      <c r="AB39" s="217" t="str">
        <f t="shared" ref="AB39:AB42" si="40">IF($A39="","",IF(AA39=0,0,Z39/AA39))</f>
        <v/>
      </c>
      <c r="AC39" s="71" t="str">
        <f t="shared" ref="AC39:AC42" si="41">IF($A39="","",SUM(Q39,T39,W39))</f>
        <v/>
      </c>
      <c r="AD39" s="59" t="str">
        <f t="shared" ref="AD39:AD42" si="42">IF($A39="","",SUM(R39,U39,X39))</f>
        <v/>
      </c>
      <c r="AE39" s="217" t="str">
        <f t="shared" ref="AE39:AE42" si="43">IF($A39="","",IF(AD39=0,0,AC39/AD39))</f>
        <v/>
      </c>
      <c r="AF39" s="66"/>
      <c r="AG39" s="58"/>
      <c r="AH39" s="217" t="str">
        <f t="shared" ref="AH39:AH42" si="44">IF($A39="","",IF(AG39=0,0,AF39/AG39))</f>
        <v/>
      </c>
      <c r="AI39" s="66"/>
      <c r="AJ39" s="58"/>
      <c r="AK39" s="217" t="str">
        <f t="shared" ref="AK39:AK42" si="45">IF($A39="","",IF(AJ39=0,0,AI39/AJ39))</f>
        <v/>
      </c>
      <c r="AL39" s="66"/>
      <c r="AM39" s="58"/>
      <c r="AN39" s="217" t="str">
        <f t="shared" ref="AN39:AN42" si="46">IF($A39="","",IF(AM39=0,0,AL39/AM39))</f>
        <v/>
      </c>
      <c r="AO39" s="71" t="str">
        <f t="shared" ref="AO39:AO42" si="47">IF($A39="","",SUM(AI39,AL39))</f>
        <v/>
      </c>
      <c r="AP39" s="59" t="str">
        <f t="shared" ref="AP39:AP42" si="48">IF($A39="","",SUM(AJ39,AM39))</f>
        <v/>
      </c>
      <c r="AQ39" s="217" t="str">
        <f t="shared" ref="AQ39:AQ42" si="49">IF($A39="","",IF(AP39=0,0,AO39/AP39))</f>
        <v/>
      </c>
      <c r="AR39" s="71" t="str">
        <f t="shared" ref="AR39:AR42" si="50">IF($A39="","",SUM(AF39,AI39,AL39))</f>
        <v/>
      </c>
      <c r="AS39" s="59" t="str">
        <f t="shared" ref="AS39:AS42" si="51">IF($A39="","",SUM(AG39,AJ39,AM39))</f>
        <v/>
      </c>
      <c r="AT39" s="217" t="str">
        <f t="shared" ref="AT39:AT42" si="52">IF($A39="","",IF(AS39=0,0,AR39/AS39))</f>
        <v/>
      </c>
    </row>
    <row r="40" spans="1:46" ht="18" customHeight="1">
      <c r="A40" s="74" t="str">
        <f>IF($C$9="Data Not Entered On Set-Up Worksheet","",IF(OR(VLOOKUP($C$9,County_Lookup,25,FALSE)="",VLOOKUP($C$9,County_Lookup,25,FALSE)=0),"",VLOOKUP($C$9,County_Lookup,25,FALSE)))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c r="A41" s="74" t="str">
        <f>IF($C$9="Data Not Entered On Set-Up Worksheet","",IF(OR(VLOOKUP($C$9,County_Lookup,26,FALSE)="",VLOOKUP($C$9,County_Lookup,26,FALSE)=0),"",VLOOKUP($C$9,County_Lookup,26,FALSE)))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c r="A42" s="74" t="str">
        <f>IF($C$9="Data Not Entered On Set-Up Worksheet","",IF(OR(VLOOKUP($C$9,County_Lookup,27,FALSE)="",VLOOKUP($C$9,County_Lookup,27,FALSE)=0),"",VLOOKUP($C$9,County_Lookup,27,FALSE)))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c r="A43" s="74" t="str">
        <f>IF($C$9="Data Not Entered On Set-Up Worksheet","",IF(OR(VLOOKUP($C$9,County_Lookup,28,FALSE)="",VLOOKUP($C$9,County_Lookup,28,FALSE)=0),"",VLOOKUP($C$9,County_Lookup,28,FALSE)))</f>
        <v/>
      </c>
      <c r="B43" s="66"/>
      <c r="C43" s="58"/>
      <c r="D43" s="217" t="str">
        <f t="shared" si="8"/>
        <v/>
      </c>
      <c r="E43" s="66"/>
      <c r="F43" s="58"/>
      <c r="G43" s="217" t="str">
        <f t="shared" si="9"/>
        <v/>
      </c>
      <c r="H43" s="66"/>
      <c r="I43" s="58"/>
      <c r="J43" s="217" t="str">
        <f t="shared" si="10"/>
        <v/>
      </c>
      <c r="K43" s="71" t="str">
        <f t="shared" si="11"/>
        <v/>
      </c>
      <c r="L43" s="59" t="str">
        <f t="shared" si="11"/>
        <v/>
      </c>
      <c r="M43" s="217" t="str">
        <f t="shared" si="12"/>
        <v/>
      </c>
      <c r="N43" s="71" t="str">
        <f t="shared" si="2"/>
        <v/>
      </c>
      <c r="O43" s="59" t="str">
        <f t="shared" si="3"/>
        <v/>
      </c>
      <c r="P43" s="217" t="str">
        <f t="shared" si="13"/>
        <v/>
      </c>
      <c r="Q43" s="66"/>
      <c r="R43" s="58"/>
      <c r="S43" s="217" t="str">
        <f t="shared" si="14"/>
        <v/>
      </c>
      <c r="T43" s="66"/>
      <c r="U43" s="58"/>
      <c r="V43" s="217" t="str">
        <f t="shared" si="15"/>
        <v/>
      </c>
      <c r="W43" s="66"/>
      <c r="X43" s="58"/>
      <c r="Y43" s="217" t="str">
        <f t="shared" si="16"/>
        <v/>
      </c>
      <c r="Z43" s="71" t="str">
        <f t="shared" si="17"/>
        <v/>
      </c>
      <c r="AA43" s="59" t="str">
        <f t="shared" si="17"/>
        <v/>
      </c>
      <c r="AB43" s="217" t="str">
        <f t="shared" si="18"/>
        <v/>
      </c>
      <c r="AC43" s="71" t="str">
        <f t="shared" si="4"/>
        <v/>
      </c>
      <c r="AD43" s="59" t="str">
        <f t="shared" si="5"/>
        <v/>
      </c>
      <c r="AE43" s="217" t="str">
        <f t="shared" si="19"/>
        <v/>
      </c>
      <c r="AF43" s="66"/>
      <c r="AG43" s="58"/>
      <c r="AH43" s="217" t="str">
        <f t="shared" si="20"/>
        <v/>
      </c>
      <c r="AI43" s="66"/>
      <c r="AJ43" s="58"/>
      <c r="AK43" s="217" t="str">
        <f t="shared" si="21"/>
        <v/>
      </c>
      <c r="AL43" s="66"/>
      <c r="AM43" s="58"/>
      <c r="AN43" s="217" t="str">
        <f t="shared" si="22"/>
        <v/>
      </c>
      <c r="AO43" s="71" t="str">
        <f t="shared" si="23"/>
        <v/>
      </c>
      <c r="AP43" s="59" t="str">
        <f t="shared" si="23"/>
        <v/>
      </c>
      <c r="AQ43" s="217" t="str">
        <f t="shared" si="24"/>
        <v/>
      </c>
      <c r="AR43" s="71" t="str">
        <f t="shared" si="6"/>
        <v/>
      </c>
      <c r="AS43" s="59" t="str">
        <f t="shared" si="7"/>
        <v/>
      </c>
      <c r="AT43" s="217" t="str">
        <f t="shared" si="25"/>
        <v/>
      </c>
    </row>
    <row r="44" spans="1:46" ht="18" customHeight="1" thickBot="1">
      <c r="A44" s="75" t="s">
        <v>0</v>
      </c>
      <c r="B44" s="68">
        <f>SUM(B17:B43)</f>
        <v>0</v>
      </c>
      <c r="C44" s="69">
        <f>SUM(C17:C43)</f>
        <v>0</v>
      </c>
      <c r="D44" s="218">
        <f t="shared" ref="D44" si="53">IF(C44=0,0,B44/C44)</f>
        <v>0</v>
      </c>
      <c r="E44" s="68">
        <f>SUM(E17:E43)</f>
        <v>0</v>
      </c>
      <c r="F44" s="69">
        <f>SUM(F17:F43)</f>
        <v>0</v>
      </c>
      <c r="G44" s="218">
        <f t="shared" ref="G44" si="54">IF(F44=0,0,E44/F44)</f>
        <v>0</v>
      </c>
      <c r="H44" s="68">
        <f>SUM(H17:H43)</f>
        <v>0</v>
      </c>
      <c r="I44" s="69">
        <f>SUM(I17:I43)</f>
        <v>0</v>
      </c>
      <c r="J44" s="218">
        <f t="shared" ref="J44" si="55">IF(I44=0,0,H44/I44)</f>
        <v>0</v>
      </c>
      <c r="K44" s="68">
        <f>SUM(K17:K43)</f>
        <v>0</v>
      </c>
      <c r="L44" s="69">
        <f>SUM(L17:L43)</f>
        <v>0</v>
      </c>
      <c r="M44" s="218">
        <f t="shared" ref="M44" si="56">IF(L44=0,0,K44/L44)</f>
        <v>0</v>
      </c>
      <c r="N44" s="68">
        <f>SUM(N17:N43)</f>
        <v>0</v>
      </c>
      <c r="O44" s="69">
        <f>SUM(O17:O43)</f>
        <v>0</v>
      </c>
      <c r="P44" s="218">
        <f t="shared" ref="P44" si="57">IF(O44=0,0,N44/O44)</f>
        <v>0</v>
      </c>
      <c r="Q44" s="68">
        <f>SUM(Q17:Q43)</f>
        <v>0</v>
      </c>
      <c r="R44" s="69">
        <f>SUM(R17:R43)</f>
        <v>0</v>
      </c>
      <c r="S44" s="218">
        <f t="shared" ref="S44" si="58">IF(R44=0,0,Q44/R44)</f>
        <v>0</v>
      </c>
      <c r="T44" s="68">
        <f>SUM(T17:T43)</f>
        <v>0</v>
      </c>
      <c r="U44" s="69">
        <f>SUM(U17:U43)</f>
        <v>0</v>
      </c>
      <c r="V44" s="218">
        <f t="shared" ref="V44" si="59">IF(U44=0,0,T44/U44)</f>
        <v>0</v>
      </c>
      <c r="W44" s="68">
        <f>SUM(W17:W43)</f>
        <v>0</v>
      </c>
      <c r="X44" s="69">
        <f>SUM(X17:X43)</f>
        <v>0</v>
      </c>
      <c r="Y44" s="218">
        <f t="shared" ref="Y44" si="60">IF(X44=0,0,W44/X44)</f>
        <v>0</v>
      </c>
      <c r="Z44" s="68">
        <f>SUM(Z17:Z43)</f>
        <v>0</v>
      </c>
      <c r="AA44" s="69">
        <f>SUM(AA17:AA43)</f>
        <v>0</v>
      </c>
      <c r="AB44" s="218">
        <f t="shared" ref="AB44" si="61">IF(AA44=0,0,Z44/AA44)</f>
        <v>0</v>
      </c>
      <c r="AC44" s="68">
        <f>SUM(AC17:AC43)</f>
        <v>0</v>
      </c>
      <c r="AD44" s="69">
        <f>SUM(AD17:AD43)</f>
        <v>0</v>
      </c>
      <c r="AE44" s="218">
        <f t="shared" ref="AE44" si="62">IF(AD44=0,0,AC44/AD44)</f>
        <v>0</v>
      </c>
      <c r="AF44" s="68">
        <f>SUM(AF17:AF43)</f>
        <v>0</v>
      </c>
      <c r="AG44" s="69">
        <f>SUM(AG17:AG43)</f>
        <v>0</v>
      </c>
      <c r="AH44" s="218">
        <f t="shared" ref="AH44" si="63">IF(AG44=0,0,AF44/AG44)</f>
        <v>0</v>
      </c>
      <c r="AI44" s="68">
        <f>SUM(AI17:AI43)</f>
        <v>0</v>
      </c>
      <c r="AJ44" s="69">
        <f>SUM(AJ17:AJ43)</f>
        <v>0</v>
      </c>
      <c r="AK44" s="218">
        <f t="shared" ref="AK44" si="64">IF(AJ44=0,0,AI44/AJ44)</f>
        <v>0</v>
      </c>
      <c r="AL44" s="68">
        <f>SUM(AL17:AL43)</f>
        <v>0</v>
      </c>
      <c r="AM44" s="69">
        <f>SUM(AM17:AM43)</f>
        <v>0</v>
      </c>
      <c r="AN44" s="218">
        <f t="shared" ref="AN44" si="65">IF(AM44=0,0,AL44/AM44)</f>
        <v>0</v>
      </c>
      <c r="AO44" s="68">
        <f>SUM(AO17:AO43)</f>
        <v>0</v>
      </c>
      <c r="AP44" s="69">
        <f>SUM(AP17:AP43)</f>
        <v>0</v>
      </c>
      <c r="AQ44" s="218">
        <f t="shared" ref="AQ44" si="66">IF(AP44=0,0,AO44/AP44)</f>
        <v>0</v>
      </c>
      <c r="AR44" s="68">
        <f>SUM(AR17:AR43)</f>
        <v>0</v>
      </c>
      <c r="AS44" s="69">
        <f>SUM(AS17:AS43)</f>
        <v>0</v>
      </c>
      <c r="AT44" s="218">
        <f t="shared" ref="AT44" si="67">IF(AS44=0,0,AR44/AS44)</f>
        <v>0</v>
      </c>
    </row>
  </sheetData>
  <sheetProtection sheet="1" objects="1" scenarios="1"/>
  <conditionalFormatting sqref="C3:C4">
    <cfRule type="expression" dxfId="678" priority="112">
      <formula>C3="Data Not Entered On Set-Up Worksheet"</formula>
    </cfRule>
  </conditionalFormatting>
  <conditionalFormatting sqref="C9">
    <cfRule type="expression" dxfId="677" priority="111">
      <formula>C9="Data Not Entered On Set-Up Worksheet"</formula>
    </cfRule>
  </conditionalFormatting>
  <conditionalFormatting sqref="C12">
    <cfRule type="expression" dxfId="676" priority="110">
      <formula>C12="Data Not Entered On Set-Up Worksheet"</formula>
    </cfRule>
  </conditionalFormatting>
  <conditionalFormatting sqref="B17:C39 B43:C43">
    <cfRule type="expression" dxfId="675" priority="39">
      <formula>$A17="Other"</formula>
    </cfRule>
    <cfRule type="expression" dxfId="674" priority="109">
      <formula>AND($A17&lt;&gt;"",B17="")</formula>
    </cfRule>
  </conditionalFormatting>
  <conditionalFormatting sqref="F3">
    <cfRule type="expression" dxfId="673" priority="108">
      <formula>F3="Data Not Entered On Set-Up Worksheet"</formula>
    </cfRule>
  </conditionalFormatting>
  <conditionalFormatting sqref="F12">
    <cfRule type="expression" dxfId="672" priority="107">
      <formula>F12="Data Not Entered On Set-Up Worksheet"</formula>
    </cfRule>
  </conditionalFormatting>
  <conditionalFormatting sqref="I3">
    <cfRule type="expression" dxfId="671" priority="106">
      <formula>I3="Data Not Entered On Set-Up Worksheet"</formula>
    </cfRule>
  </conditionalFormatting>
  <conditionalFormatting sqref="I9">
    <cfRule type="expression" dxfId="670" priority="105">
      <formula>I9="Data Not Entered On Set-Up Worksheet"</formula>
    </cfRule>
  </conditionalFormatting>
  <conditionalFormatting sqref="I11:I12">
    <cfRule type="expression" dxfId="669" priority="104">
      <formula>I11="Data Not Entered On Set-Up Worksheet"</formula>
    </cfRule>
  </conditionalFormatting>
  <conditionalFormatting sqref="L3">
    <cfRule type="expression" dxfId="668" priority="103">
      <formula>L3="Data Not Entered On Set-Up Worksheet"</formula>
    </cfRule>
  </conditionalFormatting>
  <conditionalFormatting sqref="L9">
    <cfRule type="expression" dxfId="667" priority="102">
      <formula>L9="Data Not Entered On Set-Up Worksheet"</formula>
    </cfRule>
  </conditionalFormatting>
  <conditionalFormatting sqref="L11:L12">
    <cfRule type="expression" dxfId="666" priority="101">
      <formula>L11="Data Not Entered On Set-Up Worksheet"</formula>
    </cfRule>
  </conditionalFormatting>
  <conditionalFormatting sqref="R3">
    <cfRule type="expression" dxfId="665" priority="100">
      <formula>R3="Data Not Entered On Set-Up Worksheet"</formula>
    </cfRule>
  </conditionalFormatting>
  <conditionalFormatting sqref="R9">
    <cfRule type="expression" dxfId="664" priority="99">
      <formula>R9="Data Not Entered On Set-Up Worksheet"</formula>
    </cfRule>
  </conditionalFormatting>
  <conditionalFormatting sqref="R11:R12">
    <cfRule type="expression" dxfId="663" priority="98">
      <formula>R11="Data Not Entered On Set-Up Worksheet"</formula>
    </cfRule>
  </conditionalFormatting>
  <conditionalFormatting sqref="U3">
    <cfRule type="expression" dxfId="662" priority="97">
      <formula>U3="Data Not Entered On Set-Up Worksheet"</formula>
    </cfRule>
  </conditionalFormatting>
  <conditionalFormatting sqref="U9">
    <cfRule type="expression" dxfId="661" priority="96">
      <formula>U9="Data Not Entered On Set-Up Worksheet"</formula>
    </cfRule>
  </conditionalFormatting>
  <conditionalFormatting sqref="U11:U12">
    <cfRule type="expression" dxfId="660" priority="95">
      <formula>U11="Data Not Entered On Set-Up Worksheet"</formula>
    </cfRule>
  </conditionalFormatting>
  <conditionalFormatting sqref="X3">
    <cfRule type="expression" dxfId="659" priority="94">
      <formula>X3="Data Not Entered On Set-Up Worksheet"</formula>
    </cfRule>
  </conditionalFormatting>
  <conditionalFormatting sqref="X9">
    <cfRule type="expression" dxfId="658" priority="93">
      <formula>X9="Data Not Entered On Set-Up Worksheet"</formula>
    </cfRule>
  </conditionalFormatting>
  <conditionalFormatting sqref="X11:X12">
    <cfRule type="expression" dxfId="657" priority="92">
      <formula>X11="Data Not Entered On Set-Up Worksheet"</formula>
    </cfRule>
  </conditionalFormatting>
  <conditionalFormatting sqref="E17:F39 E43:F43">
    <cfRule type="expression" dxfId="656" priority="38">
      <formula>$A17="Other"</formula>
    </cfRule>
    <cfRule type="expression" dxfId="655" priority="91">
      <formula>AND($A17&lt;&gt;"",E17="")</formula>
    </cfRule>
  </conditionalFormatting>
  <conditionalFormatting sqref="H17:I39 H43:I43">
    <cfRule type="expression" dxfId="654" priority="37">
      <formula>$A17="Other"</formula>
    </cfRule>
    <cfRule type="expression" dxfId="653" priority="90">
      <formula>AND($A17&lt;&gt;"",H17="")</formula>
    </cfRule>
  </conditionalFormatting>
  <conditionalFormatting sqref="Q17:R39 Q43:R43">
    <cfRule type="expression" dxfId="652" priority="89">
      <formula>AND($A17&lt;&gt;"",Q17="")</formula>
    </cfRule>
  </conditionalFormatting>
  <conditionalFormatting sqref="T17:U39 T43:U43">
    <cfRule type="expression" dxfId="651" priority="88">
      <formula>AND($A17&lt;&gt;"",T17="")</formula>
    </cfRule>
  </conditionalFormatting>
  <conditionalFormatting sqref="W17:X39 W43:X43">
    <cfRule type="expression" dxfId="650" priority="87">
      <formula>AND($A17&lt;&gt;"",W17="")</formula>
    </cfRule>
  </conditionalFormatting>
  <conditionalFormatting sqref="AA3">
    <cfRule type="expression" dxfId="649" priority="86">
      <formula>AA3="Data Not Entered On Set-Up Worksheet"</formula>
    </cfRule>
  </conditionalFormatting>
  <conditionalFormatting sqref="AG3">
    <cfRule type="expression" dxfId="648" priority="83">
      <formula>AG3="Data Not Entered On Set-Up Worksheet"</formula>
    </cfRule>
  </conditionalFormatting>
  <conditionalFormatting sqref="AA9">
    <cfRule type="expression" dxfId="647" priority="85">
      <formula>AA9="Data Not Entered On Set-Up Worksheet"</formula>
    </cfRule>
  </conditionalFormatting>
  <conditionalFormatting sqref="AA11:AA12">
    <cfRule type="expression" dxfId="646" priority="84">
      <formula>AA11="Data Not Entered On Set-Up Worksheet"</formula>
    </cfRule>
  </conditionalFormatting>
  <conditionalFormatting sqref="AJ3">
    <cfRule type="expression" dxfId="645" priority="80">
      <formula>AJ3="Data Not Entered On Set-Up Worksheet"</formula>
    </cfRule>
  </conditionalFormatting>
  <conditionalFormatting sqref="AG9">
    <cfRule type="expression" dxfId="644" priority="82">
      <formula>AG9="Data Not Entered On Set-Up Worksheet"</formula>
    </cfRule>
  </conditionalFormatting>
  <conditionalFormatting sqref="AG11:AG12">
    <cfRule type="expression" dxfId="643" priority="81">
      <formula>AG11="Data Not Entered On Set-Up Worksheet"</formula>
    </cfRule>
  </conditionalFormatting>
  <conditionalFormatting sqref="AM3">
    <cfRule type="expression" dxfId="642" priority="77">
      <formula>AM3="Data Not Entered On Set-Up Worksheet"</formula>
    </cfRule>
  </conditionalFormatting>
  <conditionalFormatting sqref="AJ9">
    <cfRule type="expression" dxfId="641" priority="79">
      <formula>AJ9="Data Not Entered On Set-Up Worksheet"</formula>
    </cfRule>
  </conditionalFormatting>
  <conditionalFormatting sqref="AJ11:AJ12">
    <cfRule type="expression" dxfId="640" priority="78">
      <formula>AJ11="Data Not Entered On Set-Up Worksheet"</formula>
    </cfRule>
  </conditionalFormatting>
  <conditionalFormatting sqref="AM9">
    <cfRule type="expression" dxfId="639" priority="76">
      <formula>AM9="Data Not Entered On Set-Up Worksheet"</formula>
    </cfRule>
  </conditionalFormatting>
  <conditionalFormatting sqref="AM11:AM12">
    <cfRule type="expression" dxfId="638" priority="75">
      <formula>AM11="Data Not Entered On Set-Up Worksheet"</formula>
    </cfRule>
  </conditionalFormatting>
  <conditionalFormatting sqref="AF17:AG39 AF43:AG43">
    <cfRule type="expression" dxfId="637" priority="74">
      <formula>AND($A17&lt;&gt;"",AF17="")</formula>
    </cfRule>
  </conditionalFormatting>
  <conditionalFormatting sqref="AI17:AJ39 AI43:AJ43">
    <cfRule type="expression" dxfId="636" priority="73">
      <formula>AND($A17&lt;&gt;"",AI17="")</formula>
    </cfRule>
  </conditionalFormatting>
  <conditionalFormatting sqref="AL17:AM39 AL43:AM43">
    <cfRule type="expression" dxfId="635" priority="72">
      <formula>AND($A17&lt;&gt;"",AL17="")</formula>
    </cfRule>
  </conditionalFormatting>
  <conditionalFormatting sqref="AP3">
    <cfRule type="expression" dxfId="634" priority="71">
      <formula>AP3="Data Not Entered On Set-Up Worksheet"</formula>
    </cfRule>
  </conditionalFormatting>
  <conditionalFormatting sqref="AP9">
    <cfRule type="expression" dxfId="633" priority="70">
      <formula>AP9="Data Not Entered On Set-Up Worksheet"</formula>
    </cfRule>
  </conditionalFormatting>
  <conditionalFormatting sqref="AP11:AP12">
    <cfRule type="expression" dxfId="632" priority="69">
      <formula>AP11="Data Not Entered On Set-Up Worksheet"</formula>
    </cfRule>
  </conditionalFormatting>
  <conditionalFormatting sqref="F10:F11">
    <cfRule type="expression" dxfId="631" priority="59">
      <formula>F10="Data Not Entered On Set-Up Worksheet"</formula>
    </cfRule>
  </conditionalFormatting>
  <conditionalFormatting sqref="C11">
    <cfRule type="expression" dxfId="630" priority="58">
      <formula>C11="Data Not Entered On Set-Up Worksheet"</formula>
    </cfRule>
  </conditionalFormatting>
  <conditionalFormatting sqref="O3">
    <cfRule type="expression" dxfId="629" priority="57">
      <formula>O3="Data Not Entered On Set-Up Worksheet"</formula>
    </cfRule>
  </conditionalFormatting>
  <conditionalFormatting sqref="O9">
    <cfRule type="expression" dxfId="628" priority="56">
      <formula>O9="Data Not Entered On Set-Up Worksheet"</formula>
    </cfRule>
  </conditionalFormatting>
  <conditionalFormatting sqref="O11:O12">
    <cfRule type="expression" dxfId="627" priority="55">
      <formula>O11="Data Not Entered On Set-Up Worksheet"</formula>
    </cfRule>
  </conditionalFormatting>
  <conditionalFormatting sqref="AD3">
    <cfRule type="expression" dxfId="626" priority="54">
      <formula>AD3="Data Not Entered On Set-Up Worksheet"</formula>
    </cfRule>
  </conditionalFormatting>
  <conditionalFormatting sqref="AD9">
    <cfRule type="expression" dxfId="625" priority="53">
      <formula>AD9="Data Not Entered On Set-Up Worksheet"</formula>
    </cfRule>
  </conditionalFormatting>
  <conditionalFormatting sqref="AD11:AD12">
    <cfRule type="expression" dxfId="624" priority="52">
      <formula>AD11="Data Not Entered On Set-Up Worksheet"</formula>
    </cfRule>
  </conditionalFormatting>
  <conditionalFormatting sqref="AS3">
    <cfRule type="expression" dxfId="623" priority="51">
      <formula>AS3="Data Not Entered On Set-Up Worksheet"</formula>
    </cfRule>
  </conditionalFormatting>
  <conditionalFormatting sqref="AS9">
    <cfRule type="expression" dxfId="622" priority="50">
      <formula>AS9="Data Not Entered On Set-Up Worksheet"</formula>
    </cfRule>
  </conditionalFormatting>
  <conditionalFormatting sqref="AS11:AS12">
    <cfRule type="expression" dxfId="621" priority="49">
      <formula>AS11="Data Not Entered On Set-Up Worksheet"</formula>
    </cfRule>
  </conditionalFormatting>
  <conditionalFormatting sqref="Q39:R39">
    <cfRule type="expression" dxfId="620" priority="45">
      <formula>AND($A39&lt;&gt;"",Q39="")</formula>
    </cfRule>
  </conditionalFormatting>
  <conditionalFormatting sqref="T39:U39">
    <cfRule type="expression" dxfId="619" priority="44">
      <formula>AND($A39&lt;&gt;"",T39="")</formula>
    </cfRule>
  </conditionalFormatting>
  <conditionalFormatting sqref="W39:X39">
    <cfRule type="expression" dxfId="618" priority="43">
      <formula>AND($A39&lt;&gt;"",W39="")</formula>
    </cfRule>
  </conditionalFormatting>
  <conditionalFormatting sqref="AF39:AG39">
    <cfRule type="expression" dxfId="617" priority="42">
      <formula>AND($A39&lt;&gt;"",AF39="")</formula>
    </cfRule>
  </conditionalFormatting>
  <conditionalFormatting sqref="AI39:AJ39">
    <cfRule type="expression" dxfId="616" priority="41">
      <formula>AND($A39&lt;&gt;"",AI39="")</formula>
    </cfRule>
  </conditionalFormatting>
  <conditionalFormatting sqref="AL39:AM39">
    <cfRule type="expression" dxfId="615" priority="40">
      <formula>AND($A39&lt;&gt;"",AL39="")</formula>
    </cfRule>
  </conditionalFormatting>
  <conditionalFormatting sqref="B40:C40">
    <cfRule type="expression" dxfId="614" priority="27">
      <formula>$A40="Other"</formula>
    </cfRule>
    <cfRule type="expression" dxfId="613" priority="36">
      <formula>AND($A40&lt;&gt;"",B40="")</formula>
    </cfRule>
  </conditionalFormatting>
  <conditionalFormatting sqref="E40:F40">
    <cfRule type="expression" dxfId="612" priority="26">
      <formula>$A40="Other"</formula>
    </cfRule>
    <cfRule type="expression" dxfId="611" priority="35">
      <formula>AND($A40&lt;&gt;"",E40="")</formula>
    </cfRule>
  </conditionalFormatting>
  <conditionalFormatting sqref="H40:I40">
    <cfRule type="expression" dxfId="610" priority="25">
      <formula>$A40="Other"</formula>
    </cfRule>
    <cfRule type="expression" dxfId="609" priority="34">
      <formula>AND($A40&lt;&gt;"",H40="")</formula>
    </cfRule>
  </conditionalFormatting>
  <conditionalFormatting sqref="Q40:R40">
    <cfRule type="expression" dxfId="608" priority="33">
      <formula>AND($A40&lt;&gt;"",Q40="")</formula>
    </cfRule>
  </conditionalFormatting>
  <conditionalFormatting sqref="T40:U40">
    <cfRule type="expression" dxfId="607" priority="32">
      <formula>AND($A40&lt;&gt;"",T40="")</formula>
    </cfRule>
  </conditionalFormatting>
  <conditionalFormatting sqref="W40:X40">
    <cfRule type="expression" dxfId="606" priority="31">
      <formula>AND($A40&lt;&gt;"",W40="")</formula>
    </cfRule>
  </conditionalFormatting>
  <conditionalFormatting sqref="AF40:AG40">
    <cfRule type="expression" dxfId="605" priority="30">
      <formula>AND($A40&lt;&gt;"",AF40="")</formula>
    </cfRule>
  </conditionalFormatting>
  <conditionalFormatting sqref="AI40:AJ40">
    <cfRule type="expression" dxfId="604" priority="29">
      <formula>AND($A40&lt;&gt;"",AI40="")</formula>
    </cfRule>
  </conditionalFormatting>
  <conditionalFormatting sqref="AL40:AM40">
    <cfRule type="expression" dxfId="603" priority="28">
      <formula>AND($A40&lt;&gt;"",AL40="")</formula>
    </cfRule>
  </conditionalFormatting>
  <conditionalFormatting sqref="B41:C41">
    <cfRule type="expression" dxfId="602" priority="15">
      <formula>$A41="Other"</formula>
    </cfRule>
    <cfRule type="expression" dxfId="601" priority="24">
      <formula>AND($A41&lt;&gt;"",B41="")</formula>
    </cfRule>
  </conditionalFormatting>
  <conditionalFormatting sqref="E41:F41">
    <cfRule type="expression" dxfId="600" priority="14">
      <formula>$A41="Other"</formula>
    </cfRule>
    <cfRule type="expression" dxfId="599" priority="23">
      <formula>AND($A41&lt;&gt;"",E41="")</formula>
    </cfRule>
  </conditionalFormatting>
  <conditionalFormatting sqref="H41:I41">
    <cfRule type="expression" dxfId="598" priority="13">
      <formula>$A41="Other"</formula>
    </cfRule>
    <cfRule type="expression" dxfId="597" priority="22">
      <formula>AND($A41&lt;&gt;"",H41="")</formula>
    </cfRule>
  </conditionalFormatting>
  <conditionalFormatting sqref="Q41:R41">
    <cfRule type="expression" dxfId="596" priority="21">
      <formula>AND($A41&lt;&gt;"",Q41="")</formula>
    </cfRule>
  </conditionalFormatting>
  <conditionalFormatting sqref="T41:U41">
    <cfRule type="expression" dxfId="595" priority="20">
      <formula>AND($A41&lt;&gt;"",T41="")</formula>
    </cfRule>
  </conditionalFormatting>
  <conditionalFormatting sqref="W41:X41">
    <cfRule type="expression" dxfId="594" priority="19">
      <formula>AND($A41&lt;&gt;"",W41="")</formula>
    </cfRule>
  </conditionalFormatting>
  <conditionalFormatting sqref="AF41:AG41">
    <cfRule type="expression" dxfId="593" priority="18">
      <formula>AND($A41&lt;&gt;"",AF41="")</formula>
    </cfRule>
  </conditionalFormatting>
  <conditionalFormatting sqref="AI41:AJ41">
    <cfRule type="expression" dxfId="592" priority="17">
      <formula>AND($A41&lt;&gt;"",AI41="")</formula>
    </cfRule>
  </conditionalFormatting>
  <conditionalFormatting sqref="AL41:AM41">
    <cfRule type="expression" dxfId="591" priority="16">
      <formula>AND($A41&lt;&gt;"",AL41="")</formula>
    </cfRule>
  </conditionalFormatting>
  <conditionalFormatting sqref="B42:C42">
    <cfRule type="expression" dxfId="590" priority="3">
      <formula>$A42="Other"</formula>
    </cfRule>
    <cfRule type="expression" dxfId="589" priority="12">
      <formula>AND($A42&lt;&gt;"",B42="")</formula>
    </cfRule>
  </conditionalFormatting>
  <conditionalFormatting sqref="E42:F42">
    <cfRule type="expression" dxfId="588" priority="2">
      <formula>$A42="Other"</formula>
    </cfRule>
    <cfRule type="expression" dxfId="587" priority="11">
      <formula>AND($A42&lt;&gt;"",E42="")</formula>
    </cfRule>
  </conditionalFormatting>
  <conditionalFormatting sqref="H42:I42">
    <cfRule type="expression" dxfId="586" priority="1">
      <formula>$A42="Other"</formula>
    </cfRule>
    <cfRule type="expression" dxfId="585" priority="10">
      <formula>AND($A42&lt;&gt;"",H42="")</formula>
    </cfRule>
  </conditionalFormatting>
  <conditionalFormatting sqref="Q42:R42">
    <cfRule type="expression" dxfId="584" priority="9">
      <formula>AND($A42&lt;&gt;"",Q42="")</formula>
    </cfRule>
  </conditionalFormatting>
  <conditionalFormatting sqref="T42:U42">
    <cfRule type="expression" dxfId="583" priority="8">
      <formula>AND($A42&lt;&gt;"",T42="")</formula>
    </cfRule>
  </conditionalFormatting>
  <conditionalFormatting sqref="W42:X42">
    <cfRule type="expression" dxfId="582" priority="7">
      <formula>AND($A42&lt;&gt;"",W42="")</formula>
    </cfRule>
  </conditionalFormatting>
  <conditionalFormatting sqref="AF42:AG42">
    <cfRule type="expression" dxfId="581" priority="6">
      <formula>AND($A42&lt;&gt;"",AF42="")</formula>
    </cfRule>
  </conditionalFormatting>
  <conditionalFormatting sqref="AI42:AJ42">
    <cfRule type="expression" dxfId="580" priority="5">
      <formula>AND($A42&lt;&gt;"",AI42="")</formula>
    </cfRule>
  </conditionalFormatting>
  <conditionalFormatting sqref="AL42:AM42">
    <cfRule type="expression" dxfId="579" priority="4">
      <formula>AND($A42&lt;&gt;"",AL42="")</formula>
    </cfRule>
  </conditionalFormatting>
  <pageMargins left="0.5" right="0.5" top="0.5" bottom="0.5" header="0.3" footer="0.3"/>
  <pageSetup scale="53" fitToWidth="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AZ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2" width="16.7109375" style="22" customWidth="1"/>
    <col min="3" max="3" width="14.7109375" style="22" customWidth="1"/>
    <col min="4" max="5" width="16.7109375" style="22" customWidth="1"/>
    <col min="6" max="6" width="14.7109375" style="22" customWidth="1"/>
    <col min="7" max="8" width="16.7109375" style="22" customWidth="1"/>
    <col min="9" max="9" width="14.7109375" style="22" customWidth="1"/>
    <col min="10" max="11" width="16.7109375" style="22" customWidth="1"/>
    <col min="12" max="12" width="14.7109375" style="22" customWidth="1"/>
    <col min="13" max="14" width="16.7109375" style="22" customWidth="1"/>
    <col min="15" max="15" width="14.7109375" style="22" customWidth="1"/>
    <col min="16" max="17" width="16.7109375" style="22" customWidth="1"/>
    <col min="18" max="18" width="14.7109375" style="22" customWidth="1"/>
    <col min="19" max="20" width="16.7109375" style="22" customWidth="1"/>
    <col min="21" max="21" width="14.7109375" style="22" customWidth="1"/>
    <col min="22" max="23" width="16.7109375" style="22" customWidth="1"/>
    <col min="24" max="24" width="14.7109375" style="22" customWidth="1"/>
    <col min="25" max="26" width="16.7109375" style="22" customWidth="1"/>
    <col min="27" max="27" width="14.7109375" style="22" customWidth="1"/>
    <col min="28" max="29" width="16.7109375" style="22" customWidth="1"/>
    <col min="30" max="30" width="14.7109375" style="22" customWidth="1"/>
    <col min="31" max="32" width="16.7109375" style="22" customWidth="1"/>
    <col min="33" max="33" width="14.7109375" style="22" customWidth="1"/>
    <col min="34" max="35" width="16.7109375" style="22" customWidth="1"/>
    <col min="36" max="36" width="14.7109375" style="22" customWidth="1"/>
    <col min="37" max="37" width="16.7109375" style="22" customWidth="1"/>
    <col min="38" max="40" width="18.7109375" style="22" customWidth="1"/>
    <col min="41" max="41" width="8.85546875" style="22" bestFit="1" customWidth="1"/>
    <col min="42" max="16384" width="9.140625" style="22"/>
  </cols>
  <sheetData>
    <row r="1" spans="1:52" ht="15" customHeight="1">
      <c r="A1" s="35" t="s">
        <v>23</v>
      </c>
      <c r="N1" s="30" t="s">
        <v>254</v>
      </c>
      <c r="Z1" s="30" t="s">
        <v>254</v>
      </c>
      <c r="AL1" s="30" t="s">
        <v>254</v>
      </c>
    </row>
    <row r="2" spans="1:52" ht="15" customHeight="1">
      <c r="A2" s="35" t="s">
        <v>187</v>
      </c>
      <c r="N2" s="214" t="s">
        <v>255</v>
      </c>
      <c r="Z2" s="214" t="s">
        <v>255</v>
      </c>
      <c r="AL2" s="214" t="s">
        <v>255</v>
      </c>
    </row>
    <row r="3" spans="1:52" ht="15" customHeight="1">
      <c r="A3" s="30" t="s">
        <v>185</v>
      </c>
      <c r="C3" s="138">
        <f>IF('Set-Up Worksheet'!F3="","Data Not Entered On Set-Up Worksheet",'Set-Up Worksheet'!F3)</f>
        <v>2021</v>
      </c>
      <c r="F3" s="37"/>
      <c r="I3" s="37"/>
      <c r="L3" s="37"/>
      <c r="O3" s="138">
        <f t="shared" ref="O3:O11" si="0">C3</f>
        <v>2021</v>
      </c>
      <c r="R3" s="37"/>
      <c r="U3" s="37"/>
      <c r="X3" s="37"/>
      <c r="AA3" s="138">
        <f t="shared" ref="AA3:AA11" si="1">C3</f>
        <v>2021</v>
      </c>
      <c r="AD3" s="37"/>
      <c r="AG3" s="37"/>
      <c r="AJ3" s="37"/>
      <c r="AM3" s="138">
        <f t="shared" ref="AM3:AM11" si="2">C3</f>
        <v>2021</v>
      </c>
    </row>
    <row r="4" spans="1:52" ht="15" customHeight="1">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c r="A5" s="30"/>
      <c r="C5" s="32"/>
      <c r="F5" s="32"/>
      <c r="I5" s="32"/>
      <c r="L5" s="32"/>
      <c r="O5" s="38"/>
      <c r="R5" s="32"/>
      <c r="U5" s="32"/>
      <c r="X5" s="32"/>
      <c r="AA5" s="38"/>
      <c r="AD5" s="32"/>
      <c r="AG5" s="32"/>
      <c r="AJ5" s="32"/>
      <c r="AM5" s="38"/>
    </row>
    <row r="6" spans="1:52" ht="15" customHeight="1">
      <c r="A6" s="30" t="s">
        <v>272</v>
      </c>
      <c r="C6" s="32"/>
      <c r="F6" s="32"/>
      <c r="G6" s="51"/>
      <c r="I6" s="32"/>
      <c r="L6" s="32"/>
      <c r="N6" s="30"/>
      <c r="O6" s="38"/>
      <c r="R6" s="32"/>
      <c r="U6" s="32"/>
      <c r="X6" s="32"/>
      <c r="Z6" s="30"/>
      <c r="AA6" s="38"/>
      <c r="AD6" s="32"/>
      <c r="AG6" s="32"/>
      <c r="AJ6" s="32"/>
      <c r="AL6" s="30"/>
      <c r="AM6" s="38"/>
    </row>
    <row r="7" spans="1:52" ht="15" customHeight="1">
      <c r="A7" s="30" t="s">
        <v>273</v>
      </c>
      <c r="C7" s="32"/>
      <c r="F7" s="32"/>
      <c r="I7" s="32"/>
      <c r="L7" s="32"/>
      <c r="N7" s="214" t="s">
        <v>274</v>
      </c>
      <c r="O7" s="38"/>
      <c r="R7" s="32"/>
      <c r="U7" s="32"/>
      <c r="X7" s="32"/>
      <c r="Z7" s="214" t="s">
        <v>274</v>
      </c>
      <c r="AA7" s="38"/>
      <c r="AD7" s="32"/>
      <c r="AG7" s="32"/>
      <c r="AJ7" s="32"/>
      <c r="AL7" s="214" t="s">
        <v>274</v>
      </c>
      <c r="AM7" s="38"/>
    </row>
    <row r="8" spans="1:52" ht="15" customHeight="1">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c r="A9" s="30" t="s">
        <v>24</v>
      </c>
      <c r="C9" s="38" t="str">
        <f>IF('Set-Up Worksheet'!E7="","Data Not Entered On Set-Up Worksheet",'Set-Up Worksheet'!E7)</f>
        <v>Data Not Entered On Set-Up Worksheet</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c r="A10" s="30" t="s">
        <v>9</v>
      </c>
      <c r="C10" s="32" t="s">
        <v>10</v>
      </c>
      <c r="F10" s="76" t="s">
        <v>362</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c r="A11" s="30" t="s">
        <v>188</v>
      </c>
      <c r="C11" s="39" t="str">
        <f>IF(C4="Data Not Entered On Set-Up Worksheet","Data Not Entered On Set-Up Worksheet",IF(C4="1st Quarter",'Report Schedule'!D28,IF(C4="2nd Quarter",'Report Schedule'!E28,IF(C4="3rd Quarter",'Report Schedule'!F28,IF(C4="4th Quarter",'Report Schedule'!G28,"")))))</f>
        <v>Apr - Jun 2020</v>
      </c>
      <c r="F11" s="76"/>
      <c r="I11" s="39"/>
      <c r="L11" s="39"/>
      <c r="O11" s="39" t="str">
        <f t="shared" si="0"/>
        <v>Apr - Jun 2020</v>
      </c>
      <c r="R11" s="39"/>
      <c r="U11" s="39"/>
      <c r="X11" s="39"/>
      <c r="AA11" s="39" t="str">
        <f t="shared" si="1"/>
        <v>Apr - Jun 2020</v>
      </c>
      <c r="AD11" s="39"/>
      <c r="AG11" s="39"/>
      <c r="AJ11" s="39"/>
      <c r="AM11" s="39" t="str">
        <f t="shared" si="2"/>
        <v>Apr - Jun 2020</v>
      </c>
    </row>
    <row r="12" spans="1:52" ht="15" customHeight="1" thickBot="1">
      <c r="A12" s="30"/>
      <c r="C12" s="39"/>
      <c r="F12" s="76"/>
      <c r="I12" s="39"/>
      <c r="L12" s="39"/>
      <c r="O12" s="39"/>
      <c r="R12" s="39"/>
      <c r="U12" s="39"/>
      <c r="X12" s="39"/>
      <c r="AA12" s="39"/>
      <c r="AD12" s="39"/>
      <c r="AG12" s="39"/>
      <c r="AJ12" s="39"/>
      <c r="AM12" s="39"/>
    </row>
    <row r="13" spans="1:52" ht="18" customHeight="1" thickBot="1">
      <c r="A13" s="146" t="s">
        <v>199</v>
      </c>
      <c r="B13" s="150" t="s">
        <v>196</v>
      </c>
      <c r="C13" s="151"/>
      <c r="D13" s="152"/>
      <c r="E13" s="60" t="s">
        <v>197</v>
      </c>
      <c r="F13" s="147"/>
      <c r="G13" s="147"/>
      <c r="H13" s="147"/>
      <c r="I13" s="147"/>
      <c r="J13" s="147"/>
      <c r="K13" s="147"/>
      <c r="L13" s="147"/>
      <c r="M13" s="148"/>
      <c r="N13" s="150" t="s">
        <v>201</v>
      </c>
      <c r="O13" s="151"/>
      <c r="P13" s="152"/>
      <c r="Q13" s="60" t="s">
        <v>202</v>
      </c>
      <c r="R13" s="147"/>
      <c r="S13" s="147"/>
      <c r="T13" s="147"/>
      <c r="U13" s="147"/>
      <c r="V13" s="147"/>
      <c r="W13" s="147"/>
      <c r="X13" s="147"/>
      <c r="Y13" s="148"/>
      <c r="Z13" s="150" t="s">
        <v>203</v>
      </c>
      <c r="AA13" s="151"/>
      <c r="AB13" s="152"/>
      <c r="AC13" s="60" t="s">
        <v>204</v>
      </c>
      <c r="AD13" s="147"/>
      <c r="AE13" s="147"/>
      <c r="AF13" s="147"/>
      <c r="AG13" s="147"/>
      <c r="AH13" s="147"/>
      <c r="AI13" s="147"/>
      <c r="AJ13" s="147"/>
      <c r="AK13" s="148"/>
      <c r="AL13" s="150" t="s">
        <v>208</v>
      </c>
      <c r="AM13" s="151"/>
      <c r="AN13" s="152"/>
    </row>
    <row r="14" spans="1:52" s="34" customFormat="1" ht="18" customHeight="1" thickBot="1">
      <c r="A14" s="149" t="s">
        <v>200</v>
      </c>
      <c r="B14" s="150" t="s">
        <v>194</v>
      </c>
      <c r="C14" s="153"/>
      <c r="D14" s="154"/>
      <c r="E14" s="60" t="s">
        <v>141</v>
      </c>
      <c r="F14" s="61"/>
      <c r="G14" s="62"/>
      <c r="H14" s="60" t="s">
        <v>195</v>
      </c>
      <c r="I14" s="61"/>
      <c r="J14" s="62"/>
      <c r="K14" s="60" t="s">
        <v>198</v>
      </c>
      <c r="L14" s="61"/>
      <c r="M14" s="62"/>
      <c r="N14" s="150" t="s">
        <v>194</v>
      </c>
      <c r="O14" s="153"/>
      <c r="P14" s="154"/>
      <c r="Q14" s="60" t="s">
        <v>141</v>
      </c>
      <c r="R14" s="61"/>
      <c r="S14" s="62"/>
      <c r="T14" s="60" t="s">
        <v>195</v>
      </c>
      <c r="U14" s="61"/>
      <c r="V14" s="62"/>
      <c r="W14" s="60" t="s">
        <v>198</v>
      </c>
      <c r="X14" s="61"/>
      <c r="Y14" s="62"/>
      <c r="Z14" s="150" t="s">
        <v>194</v>
      </c>
      <c r="AA14" s="153"/>
      <c r="AB14" s="154"/>
      <c r="AC14" s="60" t="s">
        <v>141</v>
      </c>
      <c r="AD14" s="61"/>
      <c r="AE14" s="62"/>
      <c r="AF14" s="60" t="s">
        <v>195</v>
      </c>
      <c r="AG14" s="61"/>
      <c r="AH14" s="62"/>
      <c r="AI14" s="60" t="s">
        <v>198</v>
      </c>
      <c r="AJ14" s="61"/>
      <c r="AK14" s="62"/>
      <c r="AL14" s="150" t="s">
        <v>207</v>
      </c>
      <c r="AM14" s="153"/>
      <c r="AN14" s="154"/>
    </row>
    <row r="15" spans="1:52" s="34" customFormat="1" ht="13.5" thickBot="1">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33"/>
      <c r="AP15" s="30"/>
      <c r="AQ15" s="30"/>
      <c r="AR15" s="30"/>
      <c r="AS15" s="30"/>
      <c r="AT15" s="30"/>
    </row>
    <row r="16" spans="1:52" ht="39.950000000000003" customHeight="1">
      <c r="A16" s="72" t="s">
        <v>38</v>
      </c>
      <c r="B16" s="155" t="s">
        <v>392</v>
      </c>
      <c r="C16" s="156" t="s">
        <v>391</v>
      </c>
      <c r="D16" s="157" t="s">
        <v>393</v>
      </c>
      <c r="E16" s="63" t="s">
        <v>392</v>
      </c>
      <c r="F16" s="64" t="s">
        <v>391</v>
      </c>
      <c r="G16" s="65" t="s">
        <v>393</v>
      </c>
      <c r="H16" s="63" t="s">
        <v>392</v>
      </c>
      <c r="I16" s="64" t="s">
        <v>391</v>
      </c>
      <c r="J16" s="65" t="s">
        <v>393</v>
      </c>
      <c r="K16" s="63" t="s">
        <v>392</v>
      </c>
      <c r="L16" s="64" t="s">
        <v>391</v>
      </c>
      <c r="M16" s="65" t="s">
        <v>393</v>
      </c>
      <c r="N16" s="155" t="s">
        <v>392</v>
      </c>
      <c r="O16" s="156" t="s">
        <v>391</v>
      </c>
      <c r="P16" s="157" t="s">
        <v>393</v>
      </c>
      <c r="Q16" s="63" t="s">
        <v>392</v>
      </c>
      <c r="R16" s="64" t="s">
        <v>391</v>
      </c>
      <c r="S16" s="65" t="s">
        <v>393</v>
      </c>
      <c r="T16" s="63" t="s">
        <v>392</v>
      </c>
      <c r="U16" s="64" t="s">
        <v>391</v>
      </c>
      <c r="V16" s="65" t="s">
        <v>393</v>
      </c>
      <c r="W16" s="63" t="s">
        <v>392</v>
      </c>
      <c r="X16" s="64" t="s">
        <v>391</v>
      </c>
      <c r="Y16" s="65" t="s">
        <v>393</v>
      </c>
      <c r="Z16" s="155" t="s">
        <v>392</v>
      </c>
      <c r="AA16" s="156" t="s">
        <v>391</v>
      </c>
      <c r="AB16" s="157" t="s">
        <v>393</v>
      </c>
      <c r="AC16" s="63" t="s">
        <v>392</v>
      </c>
      <c r="AD16" s="64" t="s">
        <v>391</v>
      </c>
      <c r="AE16" s="65" t="s">
        <v>393</v>
      </c>
      <c r="AF16" s="63" t="s">
        <v>392</v>
      </c>
      <c r="AG16" s="64" t="s">
        <v>391</v>
      </c>
      <c r="AH16" s="65" t="s">
        <v>393</v>
      </c>
      <c r="AI16" s="63" t="s">
        <v>392</v>
      </c>
      <c r="AJ16" s="64" t="s">
        <v>391</v>
      </c>
      <c r="AK16" s="65" t="s">
        <v>393</v>
      </c>
      <c r="AL16" s="155" t="s">
        <v>392</v>
      </c>
      <c r="AM16" s="156" t="s">
        <v>391</v>
      </c>
      <c r="AN16" s="157" t="s">
        <v>393</v>
      </c>
    </row>
    <row r="17" spans="1:40" ht="18" customHeight="1">
      <c r="A17" s="73" t="str">
        <f>IF($C$9="Data Not Entered On Set-Up Worksheet","",IF(OR(VLOOKUP($C$9,County_Lookup_MC,2,FALSE)="",VLOOKUP($C$9,County_Lookup_MC,2,FALSE)=0),"",VLOOKUP($C$9,County_Lookup_MC,2,FALSE)))</f>
        <v/>
      </c>
      <c r="B17" s="66"/>
      <c r="C17" s="58"/>
      <c r="D17" s="67" t="str">
        <f>IF($A17="","",IF(C17=0,0,B17/C17))</f>
        <v/>
      </c>
      <c r="E17" s="66"/>
      <c r="F17" s="58"/>
      <c r="G17" s="67" t="str">
        <f>IF($A17="","",IF(F17=0,0,E17/F17))</f>
        <v/>
      </c>
      <c r="H17" s="66"/>
      <c r="I17" s="58"/>
      <c r="J17" s="67" t="str">
        <f>IF($A17="","",IF(I17=0,0,H17/I17))</f>
        <v/>
      </c>
      <c r="K17" s="71" t="str">
        <f>IF($A17="","",SUM(E17,H17))</f>
        <v/>
      </c>
      <c r="L17" s="59" t="str">
        <f>IF($A17="","",SUM(F17,I17))</f>
        <v/>
      </c>
      <c r="M17" s="67" t="str">
        <f>IF($A17="","",IF(L17=0,0,K17/L17))</f>
        <v/>
      </c>
      <c r="N17" s="66"/>
      <c r="O17" s="58"/>
      <c r="P17" s="67" t="str">
        <f>IF($A17="","",IF(O17=0,0,N17/O17))</f>
        <v/>
      </c>
      <c r="Q17" s="66"/>
      <c r="R17" s="58"/>
      <c r="S17" s="67" t="str">
        <f>IF($A17="","",IF(R17=0,0,Q17/R17))</f>
        <v/>
      </c>
      <c r="T17" s="66"/>
      <c r="U17" s="58"/>
      <c r="V17" s="67" t="str">
        <f>IF($A17="","",IF(U17=0,0,T17/U17))</f>
        <v/>
      </c>
      <c r="W17" s="71" t="str">
        <f>IF($A17="","",SUM(Q17,T17))</f>
        <v/>
      </c>
      <c r="X17" s="59" t="str">
        <f>IF($A17="","",SUM(R17,U17))</f>
        <v/>
      </c>
      <c r="Y17" s="67" t="str">
        <f>IF($A17="","",IF(X17=0,0,W17/X17))</f>
        <v/>
      </c>
      <c r="Z17" s="66"/>
      <c r="AA17" s="58"/>
      <c r="AB17" s="67" t="str">
        <f>IF($A17="","",IF(AA17=0,0,Z17/AA17))</f>
        <v/>
      </c>
      <c r="AC17" s="66"/>
      <c r="AD17" s="58"/>
      <c r="AE17" s="67" t="str">
        <f>IF($A17="","",IF(AD17=0,0,AC17/AD17))</f>
        <v/>
      </c>
      <c r="AF17" s="66"/>
      <c r="AG17" s="58"/>
      <c r="AH17" s="67" t="str">
        <f>IF($A17="","",IF(AG17=0,0,AF17/AG17))</f>
        <v/>
      </c>
      <c r="AI17" s="71" t="str">
        <f>IF($A17="","",SUM(AC17,AF17))</f>
        <v/>
      </c>
      <c r="AJ17" s="59" t="str">
        <f>IF($A17="","",SUM(AD17,AG17))</f>
        <v/>
      </c>
      <c r="AK17" s="67" t="str">
        <f>IF($A17="","",IF(AJ17=0,0,AI17/AJ17))</f>
        <v/>
      </c>
      <c r="AL17" s="71" t="str">
        <f>IF($A17="","",SUM(B17,E17,H17,N17,Q17,T17,Z17,AC17,AF17))</f>
        <v/>
      </c>
      <c r="AM17" s="59" t="str">
        <f>IF($A17="","",SUM(C17,F17,I17,O17,R17,U17,AA17,AD17,AG17))</f>
        <v/>
      </c>
      <c r="AN17" s="67" t="str">
        <f>IF($A17="","",IF(AM17=0,0,AL17/AM17))</f>
        <v/>
      </c>
    </row>
    <row r="18" spans="1:40" ht="18" customHeight="1">
      <c r="A18" s="74" t="str">
        <f>IF($C$9="Data Not Entered On Set-Up Worksheet","",IF(OR(VLOOKUP($C$9,County_Lookup_MC,3,FALSE)="",VLOOKUP($C$9,County_Lookup_MC,3,FALSE)=0),"",VLOOKUP($C$9,County_Lookup_MC,3,FALSE)))</f>
        <v/>
      </c>
      <c r="B18" s="66"/>
      <c r="C18" s="58"/>
      <c r="D18" s="67" t="str">
        <f t="shared" ref="D18:D42" si="3">IF($A18="","",IF(C18=0,0,B18/C18))</f>
        <v/>
      </c>
      <c r="E18" s="66"/>
      <c r="F18" s="58"/>
      <c r="G18" s="67" t="str">
        <f t="shared" ref="G18:G42" si="4">IF($A18="","",IF(F18=0,0,E18/F18))</f>
        <v/>
      </c>
      <c r="H18" s="66"/>
      <c r="I18" s="58"/>
      <c r="J18" s="67" t="str">
        <f t="shared" ref="J18:J42" si="5">IF($A18="","",IF(I18=0,0,H18/I18))</f>
        <v/>
      </c>
      <c r="K18" s="71" t="str">
        <f t="shared" ref="K18:L42" si="6">IF($A18="","",SUM(E18,H18))</f>
        <v/>
      </c>
      <c r="L18" s="59" t="str">
        <f t="shared" si="6"/>
        <v/>
      </c>
      <c r="M18" s="67" t="str">
        <f t="shared" ref="M18:M42" si="7">IF($A18="","",IF(L18=0,0,K18/L18))</f>
        <v/>
      </c>
      <c r="N18" s="66"/>
      <c r="O18" s="58"/>
      <c r="P18" s="67" t="str">
        <f t="shared" ref="P18:P42" si="8">IF($A18="","",IF(O18=0,0,N18/O18))</f>
        <v/>
      </c>
      <c r="Q18" s="66"/>
      <c r="R18" s="58"/>
      <c r="S18" s="67" t="str">
        <f t="shared" ref="S18:S42" si="9">IF($A18="","",IF(R18=0,0,Q18/R18))</f>
        <v/>
      </c>
      <c r="T18" s="66"/>
      <c r="U18" s="58"/>
      <c r="V18" s="67" t="str">
        <f t="shared" ref="V18:V42" si="10">IF($A18="","",IF(U18=0,0,T18/U18))</f>
        <v/>
      </c>
      <c r="W18" s="71" t="str">
        <f t="shared" ref="W18:X42" si="11">IF($A18="","",SUM(Q18,T18))</f>
        <v/>
      </c>
      <c r="X18" s="59" t="str">
        <f t="shared" si="11"/>
        <v/>
      </c>
      <c r="Y18" s="67" t="str">
        <f t="shared" ref="Y18:Y42" si="12">IF($A18="","",IF(X18=0,0,W18/X18))</f>
        <v/>
      </c>
      <c r="Z18" s="66"/>
      <c r="AA18" s="58"/>
      <c r="AB18" s="67" t="str">
        <f t="shared" ref="AB18:AB42" si="13">IF($A18="","",IF(AA18=0,0,Z18/AA18))</f>
        <v/>
      </c>
      <c r="AC18" s="66"/>
      <c r="AD18" s="58"/>
      <c r="AE18" s="67" t="str">
        <f t="shared" ref="AE18:AE42" si="14">IF($A18="","",IF(AD18=0,0,AC18/AD18))</f>
        <v/>
      </c>
      <c r="AF18" s="66"/>
      <c r="AG18" s="58"/>
      <c r="AH18" s="67" t="str">
        <f t="shared" ref="AH18:AH42" si="15">IF($A18="","",IF(AG18=0,0,AF18/AG18))</f>
        <v/>
      </c>
      <c r="AI18" s="71" t="str">
        <f t="shared" ref="AI18:AJ42" si="16">IF($A18="","",SUM(AC18,AF18))</f>
        <v/>
      </c>
      <c r="AJ18" s="59" t="str">
        <f t="shared" si="16"/>
        <v/>
      </c>
      <c r="AK18" s="67" t="str">
        <f t="shared" ref="AK18:AK42" si="17">IF($A18="","",IF(AJ18=0,0,AI18/AJ18))</f>
        <v/>
      </c>
      <c r="AL18" s="71" t="str">
        <f t="shared" ref="AL18:AM42" si="18">IF($A18="","",SUM(B18,E18,H18,N18,Q18,T18,Z18,AC18,AF18))</f>
        <v/>
      </c>
      <c r="AM18" s="59" t="str">
        <f t="shared" si="18"/>
        <v/>
      </c>
      <c r="AN18" s="67" t="str">
        <f t="shared" ref="AN18:AN42" si="19">IF($A18="","",IF(AM18=0,0,AL18/AM18))</f>
        <v/>
      </c>
    </row>
    <row r="19" spans="1:40" ht="18" customHeight="1">
      <c r="A19" s="74" t="str">
        <f>IF($C$9="Data Not Entered On Set-Up Worksheet","",IF(OR(VLOOKUP($C$9,County_Lookup_MC,4,FALSE)="",VLOOKUP($C$9,County_Lookup_MC,4,FALSE)=0),"",VLOOKUP($C$9,County_Lookup_MC,4,FALSE)))</f>
        <v/>
      </c>
      <c r="B19" s="66"/>
      <c r="C19" s="58"/>
      <c r="D19" s="67" t="str">
        <f t="shared" si="3"/>
        <v/>
      </c>
      <c r="E19" s="66"/>
      <c r="F19" s="58"/>
      <c r="G19" s="67" t="str">
        <f t="shared" si="4"/>
        <v/>
      </c>
      <c r="H19" s="66"/>
      <c r="I19" s="58"/>
      <c r="J19" s="67" t="str">
        <f t="shared" si="5"/>
        <v/>
      </c>
      <c r="K19" s="71" t="str">
        <f t="shared" si="6"/>
        <v/>
      </c>
      <c r="L19" s="59" t="str">
        <f t="shared" si="6"/>
        <v/>
      </c>
      <c r="M19" s="67" t="str">
        <f t="shared" si="7"/>
        <v/>
      </c>
      <c r="N19" s="66"/>
      <c r="O19" s="58"/>
      <c r="P19" s="67" t="str">
        <f t="shared" si="8"/>
        <v/>
      </c>
      <c r="Q19" s="66"/>
      <c r="R19" s="58"/>
      <c r="S19" s="67" t="str">
        <f t="shared" si="9"/>
        <v/>
      </c>
      <c r="T19" s="66"/>
      <c r="U19" s="58"/>
      <c r="V19" s="67" t="str">
        <f t="shared" si="10"/>
        <v/>
      </c>
      <c r="W19" s="71" t="str">
        <f t="shared" si="11"/>
        <v/>
      </c>
      <c r="X19" s="59" t="str">
        <f t="shared" si="11"/>
        <v/>
      </c>
      <c r="Y19" s="67" t="str">
        <f t="shared" si="12"/>
        <v/>
      </c>
      <c r="Z19" s="66"/>
      <c r="AA19" s="58"/>
      <c r="AB19" s="67" t="str">
        <f t="shared" si="13"/>
        <v/>
      </c>
      <c r="AC19" s="66"/>
      <c r="AD19" s="58"/>
      <c r="AE19" s="67" t="str">
        <f t="shared" si="14"/>
        <v/>
      </c>
      <c r="AF19" s="66"/>
      <c r="AG19" s="58"/>
      <c r="AH19" s="67" t="str">
        <f t="shared" si="15"/>
        <v/>
      </c>
      <c r="AI19" s="71" t="str">
        <f t="shared" si="16"/>
        <v/>
      </c>
      <c r="AJ19" s="59" t="str">
        <f t="shared" si="16"/>
        <v/>
      </c>
      <c r="AK19" s="67" t="str">
        <f t="shared" si="17"/>
        <v/>
      </c>
      <c r="AL19" s="71" t="str">
        <f t="shared" si="18"/>
        <v/>
      </c>
      <c r="AM19" s="59" t="str">
        <f t="shared" si="18"/>
        <v/>
      </c>
      <c r="AN19" s="67" t="str">
        <f t="shared" si="19"/>
        <v/>
      </c>
    </row>
    <row r="20" spans="1:40" ht="18" customHeight="1">
      <c r="A20" s="74" t="str">
        <f>IF($C$9="Data Not Entered On Set-Up Worksheet","",IF(OR(VLOOKUP($C$9,County_Lookup_MC,5,FALSE)="",VLOOKUP($C$9,County_Lookup_MC,5,FALSE)=0),"",VLOOKUP($C$9,County_Lookup_MC,5,FALSE)))</f>
        <v/>
      </c>
      <c r="B20" s="66"/>
      <c r="C20" s="58"/>
      <c r="D20" s="67" t="str">
        <f t="shared" si="3"/>
        <v/>
      </c>
      <c r="E20" s="66"/>
      <c r="F20" s="58"/>
      <c r="G20" s="67" t="str">
        <f t="shared" si="4"/>
        <v/>
      </c>
      <c r="H20" s="66"/>
      <c r="I20" s="58"/>
      <c r="J20" s="67" t="str">
        <f t="shared" si="5"/>
        <v/>
      </c>
      <c r="K20" s="71" t="str">
        <f t="shared" si="6"/>
        <v/>
      </c>
      <c r="L20" s="59" t="str">
        <f t="shared" si="6"/>
        <v/>
      </c>
      <c r="M20" s="67" t="str">
        <f t="shared" si="7"/>
        <v/>
      </c>
      <c r="N20" s="66"/>
      <c r="O20" s="58"/>
      <c r="P20" s="67" t="str">
        <f t="shared" si="8"/>
        <v/>
      </c>
      <c r="Q20" s="66"/>
      <c r="R20" s="58"/>
      <c r="S20" s="67" t="str">
        <f t="shared" si="9"/>
        <v/>
      </c>
      <c r="T20" s="66"/>
      <c r="U20" s="58"/>
      <c r="V20" s="67" t="str">
        <f t="shared" si="10"/>
        <v/>
      </c>
      <c r="W20" s="71" t="str">
        <f t="shared" si="11"/>
        <v/>
      </c>
      <c r="X20" s="59" t="str">
        <f t="shared" si="11"/>
        <v/>
      </c>
      <c r="Y20" s="67" t="str">
        <f t="shared" si="12"/>
        <v/>
      </c>
      <c r="Z20" s="66"/>
      <c r="AA20" s="58"/>
      <c r="AB20" s="67" t="str">
        <f t="shared" si="13"/>
        <v/>
      </c>
      <c r="AC20" s="66"/>
      <c r="AD20" s="58"/>
      <c r="AE20" s="67" t="str">
        <f t="shared" si="14"/>
        <v/>
      </c>
      <c r="AF20" s="66"/>
      <c r="AG20" s="58"/>
      <c r="AH20" s="67" t="str">
        <f t="shared" si="15"/>
        <v/>
      </c>
      <c r="AI20" s="71" t="str">
        <f t="shared" si="16"/>
        <v/>
      </c>
      <c r="AJ20" s="59" t="str">
        <f t="shared" si="16"/>
        <v/>
      </c>
      <c r="AK20" s="67" t="str">
        <f t="shared" si="17"/>
        <v/>
      </c>
      <c r="AL20" s="71" t="str">
        <f t="shared" si="18"/>
        <v/>
      </c>
      <c r="AM20" s="59" t="str">
        <f t="shared" si="18"/>
        <v/>
      </c>
      <c r="AN20" s="67" t="str">
        <f t="shared" si="19"/>
        <v/>
      </c>
    </row>
    <row r="21" spans="1:40" ht="18" customHeight="1">
      <c r="A21" s="74" t="str">
        <f>IF($C$9="Data Not Entered On Set-Up Worksheet","",IF(OR(VLOOKUP($C$9,County_Lookup_MC,6,FALSE)="",VLOOKUP($C$9,County_Lookup_MC,6,FALSE)=0),"",VLOOKUP($C$9,County_Lookup_MC,6,FALSE)))</f>
        <v/>
      </c>
      <c r="B21" s="66"/>
      <c r="C21" s="58"/>
      <c r="D21" s="67" t="str">
        <f t="shared" si="3"/>
        <v/>
      </c>
      <c r="E21" s="66"/>
      <c r="F21" s="58"/>
      <c r="G21" s="67" t="str">
        <f t="shared" si="4"/>
        <v/>
      </c>
      <c r="H21" s="66"/>
      <c r="I21" s="58"/>
      <c r="J21" s="67" t="str">
        <f t="shared" si="5"/>
        <v/>
      </c>
      <c r="K21" s="71" t="str">
        <f t="shared" si="6"/>
        <v/>
      </c>
      <c r="L21" s="59" t="str">
        <f t="shared" si="6"/>
        <v/>
      </c>
      <c r="M21" s="67" t="str">
        <f t="shared" si="7"/>
        <v/>
      </c>
      <c r="N21" s="66"/>
      <c r="O21" s="58"/>
      <c r="P21" s="67" t="str">
        <f t="shared" si="8"/>
        <v/>
      </c>
      <c r="Q21" s="66"/>
      <c r="R21" s="58"/>
      <c r="S21" s="67" t="str">
        <f t="shared" si="9"/>
        <v/>
      </c>
      <c r="T21" s="66"/>
      <c r="U21" s="58"/>
      <c r="V21" s="67" t="str">
        <f t="shared" si="10"/>
        <v/>
      </c>
      <c r="W21" s="71" t="str">
        <f t="shared" si="11"/>
        <v/>
      </c>
      <c r="X21" s="59" t="str">
        <f t="shared" si="11"/>
        <v/>
      </c>
      <c r="Y21" s="67" t="str">
        <f t="shared" si="12"/>
        <v/>
      </c>
      <c r="Z21" s="66"/>
      <c r="AA21" s="58"/>
      <c r="AB21" s="67" t="str">
        <f t="shared" si="13"/>
        <v/>
      </c>
      <c r="AC21" s="66"/>
      <c r="AD21" s="58"/>
      <c r="AE21" s="67" t="str">
        <f t="shared" si="14"/>
        <v/>
      </c>
      <c r="AF21" s="66"/>
      <c r="AG21" s="58"/>
      <c r="AH21" s="67" t="str">
        <f t="shared" si="15"/>
        <v/>
      </c>
      <c r="AI21" s="71" t="str">
        <f t="shared" si="16"/>
        <v/>
      </c>
      <c r="AJ21" s="59" t="str">
        <f t="shared" si="16"/>
        <v/>
      </c>
      <c r="AK21" s="67" t="str">
        <f t="shared" si="17"/>
        <v/>
      </c>
      <c r="AL21" s="71" t="str">
        <f t="shared" si="18"/>
        <v/>
      </c>
      <c r="AM21" s="59" t="str">
        <f t="shared" si="18"/>
        <v/>
      </c>
      <c r="AN21" s="67" t="str">
        <f t="shared" si="19"/>
        <v/>
      </c>
    </row>
    <row r="22" spans="1:40" ht="18" customHeight="1">
      <c r="A22" s="74" t="str">
        <f>IF($C$9="Data Not Entered On Set-Up Worksheet","",IF(OR(VLOOKUP($C$9,County_Lookup_MC,7,FALSE)="",VLOOKUP($C$9,County_Lookup_MC,7,FALSE)=0),"",VLOOKUP($C$9,County_Lookup_MC,7,FALSE)))</f>
        <v/>
      </c>
      <c r="B22" s="66"/>
      <c r="C22" s="58"/>
      <c r="D22" s="67" t="str">
        <f t="shared" si="3"/>
        <v/>
      </c>
      <c r="E22" s="66"/>
      <c r="F22" s="58"/>
      <c r="G22" s="67" t="str">
        <f t="shared" si="4"/>
        <v/>
      </c>
      <c r="H22" s="66"/>
      <c r="I22" s="58"/>
      <c r="J22" s="67" t="str">
        <f t="shared" si="5"/>
        <v/>
      </c>
      <c r="K22" s="71" t="str">
        <f t="shared" si="6"/>
        <v/>
      </c>
      <c r="L22" s="59" t="str">
        <f t="shared" si="6"/>
        <v/>
      </c>
      <c r="M22" s="67" t="str">
        <f t="shared" si="7"/>
        <v/>
      </c>
      <c r="N22" s="66"/>
      <c r="O22" s="58"/>
      <c r="P22" s="67" t="str">
        <f t="shared" si="8"/>
        <v/>
      </c>
      <c r="Q22" s="66"/>
      <c r="R22" s="58"/>
      <c r="S22" s="67" t="str">
        <f t="shared" si="9"/>
        <v/>
      </c>
      <c r="T22" s="66"/>
      <c r="U22" s="58"/>
      <c r="V22" s="67" t="str">
        <f t="shared" si="10"/>
        <v/>
      </c>
      <c r="W22" s="71" t="str">
        <f t="shared" si="11"/>
        <v/>
      </c>
      <c r="X22" s="59" t="str">
        <f t="shared" si="11"/>
        <v/>
      </c>
      <c r="Y22" s="67" t="str">
        <f t="shared" si="12"/>
        <v/>
      </c>
      <c r="Z22" s="66"/>
      <c r="AA22" s="58"/>
      <c r="AB22" s="67" t="str">
        <f t="shared" si="13"/>
        <v/>
      </c>
      <c r="AC22" s="66"/>
      <c r="AD22" s="58"/>
      <c r="AE22" s="67" t="str">
        <f t="shared" si="14"/>
        <v/>
      </c>
      <c r="AF22" s="66"/>
      <c r="AG22" s="58"/>
      <c r="AH22" s="67" t="str">
        <f t="shared" si="15"/>
        <v/>
      </c>
      <c r="AI22" s="71" t="str">
        <f t="shared" si="16"/>
        <v/>
      </c>
      <c r="AJ22" s="59" t="str">
        <f t="shared" si="16"/>
        <v/>
      </c>
      <c r="AK22" s="67" t="str">
        <f t="shared" si="17"/>
        <v/>
      </c>
      <c r="AL22" s="71" t="str">
        <f t="shared" si="18"/>
        <v/>
      </c>
      <c r="AM22" s="59" t="str">
        <f t="shared" si="18"/>
        <v/>
      </c>
      <c r="AN22" s="67" t="str">
        <f t="shared" si="19"/>
        <v/>
      </c>
    </row>
    <row r="23" spans="1:40" ht="18" customHeight="1">
      <c r="A23" s="73" t="str">
        <f>IF($C$9="Data Not Entered On Set-Up Worksheet","",IF(OR(VLOOKUP($C$9,County_Lookup_MC,8,FALSE)="",VLOOKUP($C$9,County_Lookup_MC,8,FALSE)=0),"",VLOOKUP($C$9,County_Lookup_MC,8,FALSE)))</f>
        <v/>
      </c>
      <c r="B23" s="66"/>
      <c r="C23" s="58"/>
      <c r="D23" s="67" t="str">
        <f t="shared" si="3"/>
        <v/>
      </c>
      <c r="E23" s="66"/>
      <c r="F23" s="58"/>
      <c r="G23" s="67" t="str">
        <f t="shared" si="4"/>
        <v/>
      </c>
      <c r="H23" s="66"/>
      <c r="I23" s="58"/>
      <c r="J23" s="67" t="str">
        <f t="shared" si="5"/>
        <v/>
      </c>
      <c r="K23" s="71" t="str">
        <f t="shared" si="6"/>
        <v/>
      </c>
      <c r="L23" s="59" t="str">
        <f t="shared" si="6"/>
        <v/>
      </c>
      <c r="M23" s="67" t="str">
        <f t="shared" si="7"/>
        <v/>
      </c>
      <c r="N23" s="66"/>
      <c r="O23" s="58"/>
      <c r="P23" s="67" t="str">
        <f t="shared" si="8"/>
        <v/>
      </c>
      <c r="Q23" s="66"/>
      <c r="R23" s="58"/>
      <c r="S23" s="67" t="str">
        <f t="shared" si="9"/>
        <v/>
      </c>
      <c r="T23" s="66"/>
      <c r="U23" s="58"/>
      <c r="V23" s="67" t="str">
        <f t="shared" si="10"/>
        <v/>
      </c>
      <c r="W23" s="71" t="str">
        <f t="shared" si="11"/>
        <v/>
      </c>
      <c r="X23" s="59" t="str">
        <f t="shared" si="11"/>
        <v/>
      </c>
      <c r="Y23" s="67" t="str">
        <f t="shared" si="12"/>
        <v/>
      </c>
      <c r="Z23" s="66"/>
      <c r="AA23" s="58"/>
      <c r="AB23" s="67" t="str">
        <f t="shared" si="13"/>
        <v/>
      </c>
      <c r="AC23" s="66"/>
      <c r="AD23" s="58"/>
      <c r="AE23" s="67" t="str">
        <f t="shared" si="14"/>
        <v/>
      </c>
      <c r="AF23" s="66"/>
      <c r="AG23" s="58"/>
      <c r="AH23" s="67" t="str">
        <f t="shared" si="15"/>
        <v/>
      </c>
      <c r="AI23" s="71" t="str">
        <f t="shared" si="16"/>
        <v/>
      </c>
      <c r="AJ23" s="59" t="str">
        <f t="shared" si="16"/>
        <v/>
      </c>
      <c r="AK23" s="67" t="str">
        <f t="shared" si="17"/>
        <v/>
      </c>
      <c r="AL23" s="71" t="str">
        <f t="shared" si="18"/>
        <v/>
      </c>
      <c r="AM23" s="59" t="str">
        <f t="shared" si="18"/>
        <v/>
      </c>
      <c r="AN23" s="67" t="str">
        <f t="shared" si="19"/>
        <v/>
      </c>
    </row>
    <row r="24" spans="1:40" ht="18" customHeight="1">
      <c r="A24" s="74" t="str">
        <f>IF($C$9="Data Not Entered On Set-Up Worksheet","",IF(OR(VLOOKUP($C$9,County_Lookup_MC,9,FALSE)="",VLOOKUP($C$9,County_Lookup_MC,9,FALSE)=0),"",VLOOKUP($C$9,County_Lookup_MC,9,FALSE)))</f>
        <v/>
      </c>
      <c r="B24" s="66"/>
      <c r="C24" s="58"/>
      <c r="D24" s="67" t="str">
        <f t="shared" si="3"/>
        <v/>
      </c>
      <c r="E24" s="66"/>
      <c r="F24" s="58"/>
      <c r="G24" s="67" t="str">
        <f t="shared" si="4"/>
        <v/>
      </c>
      <c r="H24" s="66"/>
      <c r="I24" s="58"/>
      <c r="J24" s="67" t="str">
        <f t="shared" si="5"/>
        <v/>
      </c>
      <c r="K24" s="71" t="str">
        <f t="shared" si="6"/>
        <v/>
      </c>
      <c r="L24" s="59" t="str">
        <f t="shared" si="6"/>
        <v/>
      </c>
      <c r="M24" s="67" t="str">
        <f t="shared" si="7"/>
        <v/>
      </c>
      <c r="N24" s="66"/>
      <c r="O24" s="58"/>
      <c r="P24" s="67" t="str">
        <f t="shared" si="8"/>
        <v/>
      </c>
      <c r="Q24" s="66"/>
      <c r="R24" s="58"/>
      <c r="S24" s="67" t="str">
        <f t="shared" si="9"/>
        <v/>
      </c>
      <c r="T24" s="66"/>
      <c r="U24" s="58"/>
      <c r="V24" s="67" t="str">
        <f t="shared" si="10"/>
        <v/>
      </c>
      <c r="W24" s="71" t="str">
        <f t="shared" si="11"/>
        <v/>
      </c>
      <c r="X24" s="59" t="str">
        <f t="shared" si="11"/>
        <v/>
      </c>
      <c r="Y24" s="67" t="str">
        <f t="shared" si="12"/>
        <v/>
      </c>
      <c r="Z24" s="66"/>
      <c r="AA24" s="58"/>
      <c r="AB24" s="67" t="str">
        <f t="shared" si="13"/>
        <v/>
      </c>
      <c r="AC24" s="66"/>
      <c r="AD24" s="58"/>
      <c r="AE24" s="67" t="str">
        <f t="shared" si="14"/>
        <v/>
      </c>
      <c r="AF24" s="66"/>
      <c r="AG24" s="58"/>
      <c r="AH24" s="67" t="str">
        <f t="shared" si="15"/>
        <v/>
      </c>
      <c r="AI24" s="71" t="str">
        <f t="shared" si="16"/>
        <v/>
      </c>
      <c r="AJ24" s="59" t="str">
        <f t="shared" si="16"/>
        <v/>
      </c>
      <c r="AK24" s="67" t="str">
        <f t="shared" si="17"/>
        <v/>
      </c>
      <c r="AL24" s="71" t="str">
        <f t="shared" si="18"/>
        <v/>
      </c>
      <c r="AM24" s="59" t="str">
        <f t="shared" si="18"/>
        <v/>
      </c>
      <c r="AN24" s="67" t="str">
        <f t="shared" si="19"/>
        <v/>
      </c>
    </row>
    <row r="25" spans="1:40" ht="18" customHeight="1">
      <c r="A25" s="74" t="str">
        <f>IF($C$9="Data Not Entered On Set-Up Worksheet","",IF(OR(VLOOKUP($C$9,County_Lookup_MC,10,FALSE)="",VLOOKUP($C$9,County_Lookup_MC,10,FALSE)=0),"",VLOOKUP($C$9,County_Lookup_MC,10,FALSE)))</f>
        <v/>
      </c>
      <c r="B25" s="66"/>
      <c r="C25" s="58"/>
      <c r="D25" s="67" t="str">
        <f t="shared" si="3"/>
        <v/>
      </c>
      <c r="E25" s="66"/>
      <c r="F25" s="58"/>
      <c r="G25" s="67" t="str">
        <f t="shared" si="4"/>
        <v/>
      </c>
      <c r="H25" s="66"/>
      <c r="I25" s="58"/>
      <c r="J25" s="67" t="str">
        <f t="shared" si="5"/>
        <v/>
      </c>
      <c r="K25" s="71" t="str">
        <f t="shared" si="6"/>
        <v/>
      </c>
      <c r="L25" s="59" t="str">
        <f t="shared" si="6"/>
        <v/>
      </c>
      <c r="M25" s="67" t="str">
        <f t="shared" si="7"/>
        <v/>
      </c>
      <c r="N25" s="66"/>
      <c r="O25" s="58"/>
      <c r="P25" s="67" t="str">
        <f t="shared" si="8"/>
        <v/>
      </c>
      <c r="Q25" s="66"/>
      <c r="R25" s="58"/>
      <c r="S25" s="67" t="str">
        <f t="shared" si="9"/>
        <v/>
      </c>
      <c r="T25" s="66"/>
      <c r="U25" s="58"/>
      <c r="V25" s="67" t="str">
        <f t="shared" si="10"/>
        <v/>
      </c>
      <c r="W25" s="71" t="str">
        <f t="shared" si="11"/>
        <v/>
      </c>
      <c r="X25" s="59" t="str">
        <f t="shared" si="11"/>
        <v/>
      </c>
      <c r="Y25" s="67" t="str">
        <f t="shared" si="12"/>
        <v/>
      </c>
      <c r="Z25" s="66"/>
      <c r="AA25" s="58"/>
      <c r="AB25" s="67" t="str">
        <f t="shared" si="13"/>
        <v/>
      </c>
      <c r="AC25" s="66"/>
      <c r="AD25" s="58"/>
      <c r="AE25" s="67" t="str">
        <f t="shared" si="14"/>
        <v/>
      </c>
      <c r="AF25" s="66"/>
      <c r="AG25" s="58"/>
      <c r="AH25" s="67" t="str">
        <f t="shared" si="15"/>
        <v/>
      </c>
      <c r="AI25" s="71" t="str">
        <f t="shared" si="16"/>
        <v/>
      </c>
      <c r="AJ25" s="59" t="str">
        <f t="shared" si="16"/>
        <v/>
      </c>
      <c r="AK25" s="67" t="str">
        <f t="shared" si="17"/>
        <v/>
      </c>
      <c r="AL25" s="71" t="str">
        <f t="shared" si="18"/>
        <v/>
      </c>
      <c r="AM25" s="59" t="str">
        <f t="shared" si="18"/>
        <v/>
      </c>
      <c r="AN25" s="67" t="str">
        <f t="shared" si="19"/>
        <v/>
      </c>
    </row>
    <row r="26" spans="1:40" ht="18" customHeight="1">
      <c r="A26" s="74" t="str">
        <f>IF($C$9="Data Not Entered On Set-Up Worksheet","",IF(OR(VLOOKUP($C$9,County_Lookup_MC,11,FALSE)="",VLOOKUP($C$9,County_Lookup_MC,11,FALSE)=0),"",VLOOKUP($C$9,County_Lookup_MC,11,FALSE)))</f>
        <v/>
      </c>
      <c r="B26" s="66"/>
      <c r="C26" s="58"/>
      <c r="D26" s="67" t="str">
        <f t="shared" si="3"/>
        <v/>
      </c>
      <c r="E26" s="66"/>
      <c r="F26" s="58"/>
      <c r="G26" s="67" t="str">
        <f t="shared" si="4"/>
        <v/>
      </c>
      <c r="H26" s="66"/>
      <c r="I26" s="58"/>
      <c r="J26" s="67" t="str">
        <f t="shared" si="5"/>
        <v/>
      </c>
      <c r="K26" s="71" t="str">
        <f t="shared" si="6"/>
        <v/>
      </c>
      <c r="L26" s="59" t="str">
        <f t="shared" si="6"/>
        <v/>
      </c>
      <c r="M26" s="67" t="str">
        <f t="shared" si="7"/>
        <v/>
      </c>
      <c r="N26" s="66"/>
      <c r="O26" s="58"/>
      <c r="P26" s="67" t="str">
        <f t="shared" si="8"/>
        <v/>
      </c>
      <c r="Q26" s="66"/>
      <c r="R26" s="58"/>
      <c r="S26" s="67" t="str">
        <f t="shared" si="9"/>
        <v/>
      </c>
      <c r="T26" s="66"/>
      <c r="U26" s="58"/>
      <c r="V26" s="67" t="str">
        <f t="shared" si="10"/>
        <v/>
      </c>
      <c r="W26" s="71" t="str">
        <f t="shared" si="11"/>
        <v/>
      </c>
      <c r="X26" s="59" t="str">
        <f t="shared" si="11"/>
        <v/>
      </c>
      <c r="Y26" s="67" t="str">
        <f t="shared" si="12"/>
        <v/>
      </c>
      <c r="Z26" s="66"/>
      <c r="AA26" s="58"/>
      <c r="AB26" s="67" t="str">
        <f t="shared" si="13"/>
        <v/>
      </c>
      <c r="AC26" s="66"/>
      <c r="AD26" s="58"/>
      <c r="AE26" s="67" t="str">
        <f t="shared" si="14"/>
        <v/>
      </c>
      <c r="AF26" s="66"/>
      <c r="AG26" s="58"/>
      <c r="AH26" s="67" t="str">
        <f t="shared" si="15"/>
        <v/>
      </c>
      <c r="AI26" s="71" t="str">
        <f t="shared" si="16"/>
        <v/>
      </c>
      <c r="AJ26" s="59" t="str">
        <f t="shared" si="16"/>
        <v/>
      </c>
      <c r="AK26" s="67" t="str">
        <f t="shared" si="17"/>
        <v/>
      </c>
      <c r="AL26" s="71" t="str">
        <f t="shared" si="18"/>
        <v/>
      </c>
      <c r="AM26" s="59" t="str">
        <f t="shared" si="18"/>
        <v/>
      </c>
      <c r="AN26" s="67" t="str">
        <f t="shared" si="19"/>
        <v/>
      </c>
    </row>
    <row r="27" spans="1:40" ht="18" customHeight="1">
      <c r="A27" s="74" t="str">
        <f>IF($C$9="Data Not Entered On Set-Up Worksheet","",IF(OR(VLOOKUP($C$9,County_Lookup_MC,12,FALSE)="",VLOOKUP($C$9,County_Lookup_MC,12,FALSE)=0),"",VLOOKUP($C$9,County_Lookup_MC,12,FALSE)))</f>
        <v/>
      </c>
      <c r="B27" s="66"/>
      <c r="C27" s="58"/>
      <c r="D27" s="67" t="str">
        <f t="shared" si="3"/>
        <v/>
      </c>
      <c r="E27" s="66"/>
      <c r="F27" s="58"/>
      <c r="G27" s="67" t="str">
        <f t="shared" si="4"/>
        <v/>
      </c>
      <c r="H27" s="66"/>
      <c r="I27" s="58"/>
      <c r="J27" s="67" t="str">
        <f t="shared" si="5"/>
        <v/>
      </c>
      <c r="K27" s="71" t="str">
        <f t="shared" si="6"/>
        <v/>
      </c>
      <c r="L27" s="59" t="str">
        <f t="shared" si="6"/>
        <v/>
      </c>
      <c r="M27" s="67" t="str">
        <f t="shared" si="7"/>
        <v/>
      </c>
      <c r="N27" s="66"/>
      <c r="O27" s="58"/>
      <c r="P27" s="67" t="str">
        <f t="shared" si="8"/>
        <v/>
      </c>
      <c r="Q27" s="66"/>
      <c r="R27" s="58"/>
      <c r="S27" s="67" t="str">
        <f t="shared" si="9"/>
        <v/>
      </c>
      <c r="T27" s="66"/>
      <c r="U27" s="58"/>
      <c r="V27" s="67" t="str">
        <f t="shared" si="10"/>
        <v/>
      </c>
      <c r="W27" s="71" t="str">
        <f t="shared" si="11"/>
        <v/>
      </c>
      <c r="X27" s="59" t="str">
        <f t="shared" si="11"/>
        <v/>
      </c>
      <c r="Y27" s="67" t="str">
        <f t="shared" si="12"/>
        <v/>
      </c>
      <c r="Z27" s="66"/>
      <c r="AA27" s="58"/>
      <c r="AB27" s="67" t="str">
        <f t="shared" si="13"/>
        <v/>
      </c>
      <c r="AC27" s="66"/>
      <c r="AD27" s="58"/>
      <c r="AE27" s="67" t="str">
        <f t="shared" si="14"/>
        <v/>
      </c>
      <c r="AF27" s="66"/>
      <c r="AG27" s="58"/>
      <c r="AH27" s="67" t="str">
        <f t="shared" si="15"/>
        <v/>
      </c>
      <c r="AI27" s="71" t="str">
        <f t="shared" si="16"/>
        <v/>
      </c>
      <c r="AJ27" s="59" t="str">
        <f t="shared" si="16"/>
        <v/>
      </c>
      <c r="AK27" s="67" t="str">
        <f t="shared" si="17"/>
        <v/>
      </c>
      <c r="AL27" s="71" t="str">
        <f t="shared" si="18"/>
        <v/>
      </c>
      <c r="AM27" s="59" t="str">
        <f t="shared" si="18"/>
        <v/>
      </c>
      <c r="AN27" s="67" t="str">
        <f t="shared" si="19"/>
        <v/>
      </c>
    </row>
    <row r="28" spans="1:40" ht="18" customHeight="1">
      <c r="A28" s="74" t="str">
        <f>IF($C$9="Data Not Entered On Set-Up Worksheet","",IF(OR(VLOOKUP($C$9,County_Lookup_MC,13,FALSE)="",VLOOKUP($C$9,County_Lookup_MC,13,FALSE)=0),"",VLOOKUP($C$9,County_Lookup_MC,13,FALSE)))</f>
        <v/>
      </c>
      <c r="B28" s="66"/>
      <c r="C28" s="58"/>
      <c r="D28" s="67" t="str">
        <f t="shared" si="3"/>
        <v/>
      </c>
      <c r="E28" s="66"/>
      <c r="F28" s="58"/>
      <c r="G28" s="67" t="str">
        <f t="shared" si="4"/>
        <v/>
      </c>
      <c r="H28" s="66"/>
      <c r="I28" s="58"/>
      <c r="J28" s="67" t="str">
        <f t="shared" si="5"/>
        <v/>
      </c>
      <c r="K28" s="71" t="str">
        <f t="shared" si="6"/>
        <v/>
      </c>
      <c r="L28" s="59" t="str">
        <f t="shared" si="6"/>
        <v/>
      </c>
      <c r="M28" s="67" t="str">
        <f t="shared" si="7"/>
        <v/>
      </c>
      <c r="N28" s="66"/>
      <c r="O28" s="58"/>
      <c r="P28" s="67" t="str">
        <f t="shared" si="8"/>
        <v/>
      </c>
      <c r="Q28" s="66"/>
      <c r="R28" s="58"/>
      <c r="S28" s="67" t="str">
        <f t="shared" si="9"/>
        <v/>
      </c>
      <c r="T28" s="66"/>
      <c r="U28" s="58"/>
      <c r="V28" s="67" t="str">
        <f t="shared" si="10"/>
        <v/>
      </c>
      <c r="W28" s="71" t="str">
        <f t="shared" si="11"/>
        <v/>
      </c>
      <c r="X28" s="59" t="str">
        <f t="shared" si="11"/>
        <v/>
      </c>
      <c r="Y28" s="67" t="str">
        <f t="shared" si="12"/>
        <v/>
      </c>
      <c r="Z28" s="66"/>
      <c r="AA28" s="58"/>
      <c r="AB28" s="67" t="str">
        <f t="shared" si="13"/>
        <v/>
      </c>
      <c r="AC28" s="66"/>
      <c r="AD28" s="58"/>
      <c r="AE28" s="67" t="str">
        <f t="shared" si="14"/>
        <v/>
      </c>
      <c r="AF28" s="66"/>
      <c r="AG28" s="58"/>
      <c r="AH28" s="67" t="str">
        <f t="shared" si="15"/>
        <v/>
      </c>
      <c r="AI28" s="71" t="str">
        <f t="shared" si="16"/>
        <v/>
      </c>
      <c r="AJ28" s="59" t="str">
        <f t="shared" si="16"/>
        <v/>
      </c>
      <c r="AK28" s="67" t="str">
        <f t="shared" si="17"/>
        <v/>
      </c>
      <c r="AL28" s="71" t="str">
        <f t="shared" si="18"/>
        <v/>
      </c>
      <c r="AM28" s="59" t="str">
        <f t="shared" si="18"/>
        <v/>
      </c>
      <c r="AN28" s="67" t="str">
        <f t="shared" si="19"/>
        <v/>
      </c>
    </row>
    <row r="29" spans="1:40" ht="18" customHeight="1">
      <c r="A29" s="74" t="str">
        <f>IF($C$9="Data Not Entered On Set-Up Worksheet","",IF(OR(VLOOKUP($C$9,County_Lookup_MC,14,FALSE)="",VLOOKUP($C$9,County_Lookup_MC,14,FALSE)=0),"",VLOOKUP($C$9,County_Lookup_MC,14,FALSE)))</f>
        <v/>
      </c>
      <c r="B29" s="66"/>
      <c r="C29" s="58"/>
      <c r="D29" s="67" t="str">
        <f t="shared" si="3"/>
        <v/>
      </c>
      <c r="E29" s="66"/>
      <c r="F29" s="58"/>
      <c r="G29" s="67" t="str">
        <f t="shared" si="4"/>
        <v/>
      </c>
      <c r="H29" s="66"/>
      <c r="I29" s="58"/>
      <c r="J29" s="67" t="str">
        <f t="shared" si="5"/>
        <v/>
      </c>
      <c r="K29" s="71" t="str">
        <f t="shared" si="6"/>
        <v/>
      </c>
      <c r="L29" s="59" t="str">
        <f t="shared" si="6"/>
        <v/>
      </c>
      <c r="M29" s="67" t="str">
        <f t="shared" si="7"/>
        <v/>
      </c>
      <c r="N29" s="66"/>
      <c r="O29" s="58"/>
      <c r="P29" s="67" t="str">
        <f t="shared" si="8"/>
        <v/>
      </c>
      <c r="Q29" s="66"/>
      <c r="R29" s="58"/>
      <c r="S29" s="67" t="str">
        <f t="shared" si="9"/>
        <v/>
      </c>
      <c r="T29" s="66"/>
      <c r="U29" s="58"/>
      <c r="V29" s="67" t="str">
        <f t="shared" si="10"/>
        <v/>
      </c>
      <c r="W29" s="71" t="str">
        <f t="shared" si="11"/>
        <v/>
      </c>
      <c r="X29" s="59" t="str">
        <f t="shared" si="11"/>
        <v/>
      </c>
      <c r="Y29" s="67" t="str">
        <f t="shared" si="12"/>
        <v/>
      </c>
      <c r="Z29" s="66"/>
      <c r="AA29" s="58"/>
      <c r="AB29" s="67" t="str">
        <f t="shared" si="13"/>
        <v/>
      </c>
      <c r="AC29" s="66"/>
      <c r="AD29" s="58"/>
      <c r="AE29" s="67" t="str">
        <f t="shared" si="14"/>
        <v/>
      </c>
      <c r="AF29" s="66"/>
      <c r="AG29" s="58"/>
      <c r="AH29" s="67" t="str">
        <f t="shared" si="15"/>
        <v/>
      </c>
      <c r="AI29" s="71" t="str">
        <f t="shared" si="16"/>
        <v/>
      </c>
      <c r="AJ29" s="59" t="str">
        <f t="shared" si="16"/>
        <v/>
      </c>
      <c r="AK29" s="67" t="str">
        <f t="shared" si="17"/>
        <v/>
      </c>
      <c r="AL29" s="71" t="str">
        <f t="shared" si="18"/>
        <v/>
      </c>
      <c r="AM29" s="59" t="str">
        <f t="shared" si="18"/>
        <v/>
      </c>
      <c r="AN29" s="67" t="str">
        <f t="shared" si="19"/>
        <v/>
      </c>
    </row>
    <row r="30" spans="1:40" ht="18" customHeight="1">
      <c r="A30" s="73" t="str">
        <f>IF($C$9="Data Not Entered On Set-Up Worksheet","",IF(OR(VLOOKUP($C$9,County_Lookup_MC,15,FALSE)="",VLOOKUP($C$9,County_Lookup_MC,15,FALSE)=0),"",VLOOKUP($C$9,County_Lookup_MC,15,FALSE)))</f>
        <v/>
      </c>
      <c r="B30" s="66"/>
      <c r="C30" s="58"/>
      <c r="D30" s="67" t="str">
        <f t="shared" si="3"/>
        <v/>
      </c>
      <c r="E30" s="66"/>
      <c r="F30" s="58"/>
      <c r="G30" s="67" t="str">
        <f t="shared" si="4"/>
        <v/>
      </c>
      <c r="H30" s="66"/>
      <c r="I30" s="58"/>
      <c r="J30" s="67" t="str">
        <f t="shared" si="5"/>
        <v/>
      </c>
      <c r="K30" s="71" t="str">
        <f t="shared" si="6"/>
        <v/>
      </c>
      <c r="L30" s="59" t="str">
        <f t="shared" si="6"/>
        <v/>
      </c>
      <c r="M30" s="67" t="str">
        <f t="shared" si="7"/>
        <v/>
      </c>
      <c r="N30" s="66"/>
      <c r="O30" s="58"/>
      <c r="P30" s="67" t="str">
        <f t="shared" si="8"/>
        <v/>
      </c>
      <c r="Q30" s="66"/>
      <c r="R30" s="58"/>
      <c r="S30" s="67" t="str">
        <f t="shared" si="9"/>
        <v/>
      </c>
      <c r="T30" s="66"/>
      <c r="U30" s="58"/>
      <c r="V30" s="67" t="str">
        <f t="shared" si="10"/>
        <v/>
      </c>
      <c r="W30" s="71" t="str">
        <f t="shared" si="11"/>
        <v/>
      </c>
      <c r="X30" s="59" t="str">
        <f t="shared" si="11"/>
        <v/>
      </c>
      <c r="Y30" s="67" t="str">
        <f t="shared" si="12"/>
        <v/>
      </c>
      <c r="Z30" s="66"/>
      <c r="AA30" s="58"/>
      <c r="AB30" s="67" t="str">
        <f t="shared" si="13"/>
        <v/>
      </c>
      <c r="AC30" s="66"/>
      <c r="AD30" s="58"/>
      <c r="AE30" s="67" t="str">
        <f t="shared" si="14"/>
        <v/>
      </c>
      <c r="AF30" s="66"/>
      <c r="AG30" s="58"/>
      <c r="AH30" s="67" t="str">
        <f t="shared" si="15"/>
        <v/>
      </c>
      <c r="AI30" s="71" t="str">
        <f t="shared" si="16"/>
        <v/>
      </c>
      <c r="AJ30" s="59" t="str">
        <f t="shared" si="16"/>
        <v/>
      </c>
      <c r="AK30" s="67" t="str">
        <f t="shared" si="17"/>
        <v/>
      </c>
      <c r="AL30" s="71" t="str">
        <f t="shared" si="18"/>
        <v/>
      </c>
      <c r="AM30" s="59" t="str">
        <f t="shared" si="18"/>
        <v/>
      </c>
      <c r="AN30" s="67" t="str">
        <f t="shared" si="19"/>
        <v/>
      </c>
    </row>
    <row r="31" spans="1:40" ht="18" customHeight="1">
      <c r="A31" s="74" t="str">
        <f>IF($C$9="Data Not Entered On Set-Up Worksheet","",IF(OR(VLOOKUP($C$9,County_Lookup_MC,16,FALSE)="",VLOOKUP($C$9,County_Lookup_MC,16,FALSE)=0),"",VLOOKUP($C$9,County_Lookup_MC,16,FALSE)))</f>
        <v/>
      </c>
      <c r="B31" s="66"/>
      <c r="C31" s="58"/>
      <c r="D31" s="67" t="str">
        <f t="shared" si="3"/>
        <v/>
      </c>
      <c r="E31" s="66"/>
      <c r="F31" s="58"/>
      <c r="G31" s="67" t="str">
        <f t="shared" si="4"/>
        <v/>
      </c>
      <c r="H31" s="66"/>
      <c r="I31" s="58"/>
      <c r="J31" s="67" t="str">
        <f t="shared" si="5"/>
        <v/>
      </c>
      <c r="K31" s="71" t="str">
        <f t="shared" si="6"/>
        <v/>
      </c>
      <c r="L31" s="59" t="str">
        <f t="shared" si="6"/>
        <v/>
      </c>
      <c r="M31" s="67" t="str">
        <f t="shared" si="7"/>
        <v/>
      </c>
      <c r="N31" s="66"/>
      <c r="O31" s="58"/>
      <c r="P31" s="67" t="str">
        <f t="shared" si="8"/>
        <v/>
      </c>
      <c r="Q31" s="66"/>
      <c r="R31" s="58"/>
      <c r="S31" s="67" t="str">
        <f t="shared" si="9"/>
        <v/>
      </c>
      <c r="T31" s="66"/>
      <c r="U31" s="58"/>
      <c r="V31" s="67" t="str">
        <f t="shared" si="10"/>
        <v/>
      </c>
      <c r="W31" s="71" t="str">
        <f t="shared" si="11"/>
        <v/>
      </c>
      <c r="X31" s="59" t="str">
        <f t="shared" si="11"/>
        <v/>
      </c>
      <c r="Y31" s="67" t="str">
        <f t="shared" si="12"/>
        <v/>
      </c>
      <c r="Z31" s="66"/>
      <c r="AA31" s="58"/>
      <c r="AB31" s="67" t="str">
        <f t="shared" si="13"/>
        <v/>
      </c>
      <c r="AC31" s="66"/>
      <c r="AD31" s="58"/>
      <c r="AE31" s="67" t="str">
        <f t="shared" si="14"/>
        <v/>
      </c>
      <c r="AF31" s="66"/>
      <c r="AG31" s="58"/>
      <c r="AH31" s="67" t="str">
        <f t="shared" si="15"/>
        <v/>
      </c>
      <c r="AI31" s="71" t="str">
        <f t="shared" si="16"/>
        <v/>
      </c>
      <c r="AJ31" s="59" t="str">
        <f t="shared" si="16"/>
        <v/>
      </c>
      <c r="AK31" s="67" t="str">
        <f t="shared" si="17"/>
        <v/>
      </c>
      <c r="AL31" s="71" t="str">
        <f t="shared" si="18"/>
        <v/>
      </c>
      <c r="AM31" s="59" t="str">
        <f t="shared" si="18"/>
        <v/>
      </c>
      <c r="AN31" s="67" t="str">
        <f t="shared" si="19"/>
        <v/>
      </c>
    </row>
    <row r="32" spans="1:40" ht="18" customHeight="1">
      <c r="A32" s="74" t="str">
        <f>IF($C$9="Data Not Entered On Set-Up Worksheet","",IF(OR(VLOOKUP($C$9,County_Lookup_MC,17,FALSE)="",VLOOKUP($C$9,County_Lookup_MC,17,FALSE)=0),"",VLOOKUP($C$9,County_Lookup_MC,17,FALSE)))</f>
        <v/>
      </c>
      <c r="B32" s="66"/>
      <c r="C32" s="58"/>
      <c r="D32" s="67" t="str">
        <f t="shared" si="3"/>
        <v/>
      </c>
      <c r="E32" s="66"/>
      <c r="F32" s="58"/>
      <c r="G32" s="67" t="str">
        <f t="shared" si="4"/>
        <v/>
      </c>
      <c r="H32" s="66"/>
      <c r="I32" s="58"/>
      <c r="J32" s="67" t="str">
        <f t="shared" si="5"/>
        <v/>
      </c>
      <c r="K32" s="71" t="str">
        <f t="shared" si="6"/>
        <v/>
      </c>
      <c r="L32" s="59" t="str">
        <f t="shared" si="6"/>
        <v/>
      </c>
      <c r="M32" s="67" t="str">
        <f t="shared" si="7"/>
        <v/>
      </c>
      <c r="N32" s="66"/>
      <c r="O32" s="58"/>
      <c r="P32" s="67" t="str">
        <f t="shared" si="8"/>
        <v/>
      </c>
      <c r="Q32" s="66"/>
      <c r="R32" s="58"/>
      <c r="S32" s="67" t="str">
        <f t="shared" si="9"/>
        <v/>
      </c>
      <c r="T32" s="66"/>
      <c r="U32" s="58"/>
      <c r="V32" s="67" t="str">
        <f t="shared" si="10"/>
        <v/>
      </c>
      <c r="W32" s="71" t="str">
        <f t="shared" si="11"/>
        <v/>
      </c>
      <c r="X32" s="59" t="str">
        <f t="shared" si="11"/>
        <v/>
      </c>
      <c r="Y32" s="67" t="str">
        <f t="shared" si="12"/>
        <v/>
      </c>
      <c r="Z32" s="66"/>
      <c r="AA32" s="58"/>
      <c r="AB32" s="67" t="str">
        <f t="shared" si="13"/>
        <v/>
      </c>
      <c r="AC32" s="66"/>
      <c r="AD32" s="58"/>
      <c r="AE32" s="67" t="str">
        <f t="shared" si="14"/>
        <v/>
      </c>
      <c r="AF32" s="66"/>
      <c r="AG32" s="58"/>
      <c r="AH32" s="67" t="str">
        <f t="shared" si="15"/>
        <v/>
      </c>
      <c r="AI32" s="71" t="str">
        <f t="shared" si="16"/>
        <v/>
      </c>
      <c r="AJ32" s="59" t="str">
        <f t="shared" si="16"/>
        <v/>
      </c>
      <c r="AK32" s="67" t="str">
        <f t="shared" si="17"/>
        <v/>
      </c>
      <c r="AL32" s="71" t="str">
        <f t="shared" si="18"/>
        <v/>
      </c>
      <c r="AM32" s="59" t="str">
        <f t="shared" si="18"/>
        <v/>
      </c>
      <c r="AN32" s="67" t="str">
        <f t="shared" si="19"/>
        <v/>
      </c>
    </row>
    <row r="33" spans="1:40" ht="18" customHeight="1">
      <c r="A33" s="74" t="str">
        <f>IF($C$9="Data Not Entered On Set-Up Worksheet","",IF(OR(VLOOKUP($C$9,County_Lookup_MC,18,FALSE)="",VLOOKUP($C$9,County_Lookup_MC,18,FALSE)=0),"",VLOOKUP($C$9,County_Lookup_MC,18,FALSE)))</f>
        <v/>
      </c>
      <c r="B33" s="66"/>
      <c r="C33" s="58"/>
      <c r="D33" s="67" t="str">
        <f t="shared" si="3"/>
        <v/>
      </c>
      <c r="E33" s="66"/>
      <c r="F33" s="58"/>
      <c r="G33" s="67" t="str">
        <f t="shared" si="4"/>
        <v/>
      </c>
      <c r="H33" s="66"/>
      <c r="I33" s="58"/>
      <c r="J33" s="67" t="str">
        <f t="shared" si="5"/>
        <v/>
      </c>
      <c r="K33" s="71" t="str">
        <f t="shared" si="6"/>
        <v/>
      </c>
      <c r="L33" s="59" t="str">
        <f t="shared" si="6"/>
        <v/>
      </c>
      <c r="M33" s="67" t="str">
        <f t="shared" si="7"/>
        <v/>
      </c>
      <c r="N33" s="66"/>
      <c r="O33" s="58"/>
      <c r="P33" s="67" t="str">
        <f t="shared" si="8"/>
        <v/>
      </c>
      <c r="Q33" s="66"/>
      <c r="R33" s="58"/>
      <c r="S33" s="67" t="str">
        <f t="shared" si="9"/>
        <v/>
      </c>
      <c r="T33" s="66"/>
      <c r="U33" s="58"/>
      <c r="V33" s="67" t="str">
        <f t="shared" si="10"/>
        <v/>
      </c>
      <c r="W33" s="71" t="str">
        <f t="shared" si="11"/>
        <v/>
      </c>
      <c r="X33" s="59" t="str">
        <f t="shared" si="11"/>
        <v/>
      </c>
      <c r="Y33" s="67" t="str">
        <f t="shared" si="12"/>
        <v/>
      </c>
      <c r="Z33" s="66"/>
      <c r="AA33" s="58"/>
      <c r="AB33" s="67" t="str">
        <f t="shared" si="13"/>
        <v/>
      </c>
      <c r="AC33" s="66"/>
      <c r="AD33" s="58"/>
      <c r="AE33" s="67" t="str">
        <f t="shared" si="14"/>
        <v/>
      </c>
      <c r="AF33" s="66"/>
      <c r="AG33" s="58"/>
      <c r="AH33" s="67" t="str">
        <f t="shared" si="15"/>
        <v/>
      </c>
      <c r="AI33" s="71" t="str">
        <f t="shared" si="16"/>
        <v/>
      </c>
      <c r="AJ33" s="59" t="str">
        <f t="shared" si="16"/>
        <v/>
      </c>
      <c r="AK33" s="67" t="str">
        <f t="shared" si="17"/>
        <v/>
      </c>
      <c r="AL33" s="71" t="str">
        <f t="shared" si="18"/>
        <v/>
      </c>
      <c r="AM33" s="59" t="str">
        <f t="shared" si="18"/>
        <v/>
      </c>
      <c r="AN33" s="67" t="str">
        <f t="shared" si="19"/>
        <v/>
      </c>
    </row>
    <row r="34" spans="1:40" ht="18" customHeight="1">
      <c r="A34" s="74" t="str">
        <f>IF($C$9="Data Not Entered On Set-Up Worksheet","",IF(OR(VLOOKUP($C$9,County_Lookup_MC,19,FALSE)="",VLOOKUP($C$9,County_Lookup_MC,19,FALSE)=0),"",VLOOKUP($C$9,County_Lookup_MC,19,FALSE)))</f>
        <v/>
      </c>
      <c r="B34" s="66"/>
      <c r="C34" s="58"/>
      <c r="D34" s="67" t="str">
        <f t="shared" si="3"/>
        <v/>
      </c>
      <c r="E34" s="66"/>
      <c r="F34" s="58"/>
      <c r="G34" s="67" t="str">
        <f t="shared" si="4"/>
        <v/>
      </c>
      <c r="H34" s="66"/>
      <c r="I34" s="58"/>
      <c r="J34" s="67" t="str">
        <f t="shared" si="5"/>
        <v/>
      </c>
      <c r="K34" s="71" t="str">
        <f t="shared" si="6"/>
        <v/>
      </c>
      <c r="L34" s="59" t="str">
        <f t="shared" si="6"/>
        <v/>
      </c>
      <c r="M34" s="67" t="str">
        <f t="shared" si="7"/>
        <v/>
      </c>
      <c r="N34" s="66"/>
      <c r="O34" s="58"/>
      <c r="P34" s="67" t="str">
        <f t="shared" si="8"/>
        <v/>
      </c>
      <c r="Q34" s="66"/>
      <c r="R34" s="58"/>
      <c r="S34" s="67" t="str">
        <f t="shared" si="9"/>
        <v/>
      </c>
      <c r="T34" s="66"/>
      <c r="U34" s="58"/>
      <c r="V34" s="67" t="str">
        <f t="shared" si="10"/>
        <v/>
      </c>
      <c r="W34" s="71" t="str">
        <f t="shared" si="11"/>
        <v/>
      </c>
      <c r="X34" s="59" t="str">
        <f t="shared" si="11"/>
        <v/>
      </c>
      <c r="Y34" s="67" t="str">
        <f t="shared" si="12"/>
        <v/>
      </c>
      <c r="Z34" s="66"/>
      <c r="AA34" s="58"/>
      <c r="AB34" s="67" t="str">
        <f t="shared" si="13"/>
        <v/>
      </c>
      <c r="AC34" s="66"/>
      <c r="AD34" s="58"/>
      <c r="AE34" s="67" t="str">
        <f t="shared" si="14"/>
        <v/>
      </c>
      <c r="AF34" s="66"/>
      <c r="AG34" s="58"/>
      <c r="AH34" s="67" t="str">
        <f t="shared" si="15"/>
        <v/>
      </c>
      <c r="AI34" s="71" t="str">
        <f t="shared" si="16"/>
        <v/>
      </c>
      <c r="AJ34" s="59" t="str">
        <f t="shared" si="16"/>
        <v/>
      </c>
      <c r="AK34" s="67" t="str">
        <f t="shared" si="17"/>
        <v/>
      </c>
      <c r="AL34" s="71" t="str">
        <f t="shared" si="18"/>
        <v/>
      </c>
      <c r="AM34" s="59" t="str">
        <f t="shared" si="18"/>
        <v/>
      </c>
      <c r="AN34" s="67" t="str">
        <f t="shared" si="19"/>
        <v/>
      </c>
    </row>
    <row r="35" spans="1:40" ht="18" customHeight="1">
      <c r="A35" s="74" t="str">
        <f>IF($C$9="Data Not Entered On Set-Up Worksheet","",IF(OR(VLOOKUP($C$9,County_Lookup_MC,20,FALSE)="",VLOOKUP($C$9,County_Lookup_MC,20,FALSE)=0),"",VLOOKUP($C$9,County_Lookup_MC,20,FALSE)))</f>
        <v/>
      </c>
      <c r="B35" s="66"/>
      <c r="C35" s="58"/>
      <c r="D35" s="67" t="str">
        <f t="shared" si="3"/>
        <v/>
      </c>
      <c r="E35" s="66"/>
      <c r="F35" s="58"/>
      <c r="G35" s="67" t="str">
        <f t="shared" si="4"/>
        <v/>
      </c>
      <c r="H35" s="66"/>
      <c r="I35" s="58"/>
      <c r="J35" s="67" t="str">
        <f t="shared" si="5"/>
        <v/>
      </c>
      <c r="K35" s="71" t="str">
        <f t="shared" si="6"/>
        <v/>
      </c>
      <c r="L35" s="59" t="str">
        <f t="shared" si="6"/>
        <v/>
      </c>
      <c r="M35" s="67" t="str">
        <f t="shared" si="7"/>
        <v/>
      </c>
      <c r="N35" s="66"/>
      <c r="O35" s="58"/>
      <c r="P35" s="67" t="str">
        <f t="shared" si="8"/>
        <v/>
      </c>
      <c r="Q35" s="66"/>
      <c r="R35" s="58"/>
      <c r="S35" s="67" t="str">
        <f t="shared" si="9"/>
        <v/>
      </c>
      <c r="T35" s="66"/>
      <c r="U35" s="58"/>
      <c r="V35" s="67" t="str">
        <f t="shared" si="10"/>
        <v/>
      </c>
      <c r="W35" s="71" t="str">
        <f t="shared" si="11"/>
        <v/>
      </c>
      <c r="X35" s="59" t="str">
        <f t="shared" si="11"/>
        <v/>
      </c>
      <c r="Y35" s="67" t="str">
        <f t="shared" si="12"/>
        <v/>
      </c>
      <c r="Z35" s="66"/>
      <c r="AA35" s="58"/>
      <c r="AB35" s="67" t="str">
        <f t="shared" si="13"/>
        <v/>
      </c>
      <c r="AC35" s="66"/>
      <c r="AD35" s="58"/>
      <c r="AE35" s="67" t="str">
        <f t="shared" si="14"/>
        <v/>
      </c>
      <c r="AF35" s="66"/>
      <c r="AG35" s="58"/>
      <c r="AH35" s="67" t="str">
        <f t="shared" si="15"/>
        <v/>
      </c>
      <c r="AI35" s="71" t="str">
        <f t="shared" si="16"/>
        <v/>
      </c>
      <c r="AJ35" s="59" t="str">
        <f t="shared" si="16"/>
        <v/>
      </c>
      <c r="AK35" s="67" t="str">
        <f t="shared" si="17"/>
        <v/>
      </c>
      <c r="AL35" s="71" t="str">
        <f t="shared" si="18"/>
        <v/>
      </c>
      <c r="AM35" s="59" t="str">
        <f t="shared" si="18"/>
        <v/>
      </c>
      <c r="AN35" s="67" t="str">
        <f t="shared" si="19"/>
        <v/>
      </c>
    </row>
    <row r="36" spans="1:40" ht="18" customHeight="1">
      <c r="A36" s="74" t="str">
        <f>IF($C$9="Data Not Entered On Set-Up Worksheet","",IF(OR(VLOOKUP($C$9,County_Lookup_MC,21,FALSE)="",VLOOKUP($C$9,County_Lookup_MC,21,FALSE)=0),"",VLOOKUP($C$9,County_Lookup_MC,21,FALSE)))</f>
        <v/>
      </c>
      <c r="B36" s="66"/>
      <c r="C36" s="58"/>
      <c r="D36" s="67" t="str">
        <f t="shared" si="3"/>
        <v/>
      </c>
      <c r="E36" s="66"/>
      <c r="F36" s="58"/>
      <c r="G36" s="67" t="str">
        <f t="shared" si="4"/>
        <v/>
      </c>
      <c r="H36" s="66"/>
      <c r="I36" s="58"/>
      <c r="J36" s="67" t="str">
        <f t="shared" si="5"/>
        <v/>
      </c>
      <c r="K36" s="71" t="str">
        <f t="shared" si="6"/>
        <v/>
      </c>
      <c r="L36" s="59" t="str">
        <f t="shared" si="6"/>
        <v/>
      </c>
      <c r="M36" s="67" t="str">
        <f t="shared" si="7"/>
        <v/>
      </c>
      <c r="N36" s="66"/>
      <c r="O36" s="58"/>
      <c r="P36" s="67" t="str">
        <f t="shared" si="8"/>
        <v/>
      </c>
      <c r="Q36" s="66"/>
      <c r="R36" s="58"/>
      <c r="S36" s="67" t="str">
        <f t="shared" si="9"/>
        <v/>
      </c>
      <c r="T36" s="66"/>
      <c r="U36" s="58"/>
      <c r="V36" s="67" t="str">
        <f t="shared" si="10"/>
        <v/>
      </c>
      <c r="W36" s="71" t="str">
        <f t="shared" si="11"/>
        <v/>
      </c>
      <c r="X36" s="59" t="str">
        <f t="shared" si="11"/>
        <v/>
      </c>
      <c r="Y36" s="67" t="str">
        <f t="shared" si="12"/>
        <v/>
      </c>
      <c r="Z36" s="66"/>
      <c r="AA36" s="58"/>
      <c r="AB36" s="67" t="str">
        <f t="shared" si="13"/>
        <v/>
      </c>
      <c r="AC36" s="66"/>
      <c r="AD36" s="58"/>
      <c r="AE36" s="67" t="str">
        <f t="shared" si="14"/>
        <v/>
      </c>
      <c r="AF36" s="66"/>
      <c r="AG36" s="58"/>
      <c r="AH36" s="67" t="str">
        <f t="shared" si="15"/>
        <v/>
      </c>
      <c r="AI36" s="71" t="str">
        <f t="shared" si="16"/>
        <v/>
      </c>
      <c r="AJ36" s="59" t="str">
        <f t="shared" si="16"/>
        <v/>
      </c>
      <c r="AK36" s="67" t="str">
        <f t="shared" si="17"/>
        <v/>
      </c>
      <c r="AL36" s="71" t="str">
        <f t="shared" si="18"/>
        <v/>
      </c>
      <c r="AM36" s="59" t="str">
        <f t="shared" si="18"/>
        <v/>
      </c>
      <c r="AN36" s="67" t="str">
        <f t="shared" si="19"/>
        <v/>
      </c>
    </row>
    <row r="37" spans="1:40" ht="18" customHeight="1">
      <c r="A37" s="73" t="str">
        <f>IF($C$9="Data Not Entered On Set-Up Worksheet","",IF(OR(VLOOKUP($C$9,County_Lookup_MC,22,FALSE)="",VLOOKUP($C$9,County_Lookup_MC,22,FALSE)=0),"",VLOOKUP($C$9,County_Lookup_MC,22,FALSE)))</f>
        <v/>
      </c>
      <c r="B37" s="66"/>
      <c r="C37" s="58"/>
      <c r="D37" s="67" t="str">
        <f t="shared" si="3"/>
        <v/>
      </c>
      <c r="E37" s="66"/>
      <c r="F37" s="58"/>
      <c r="G37" s="67" t="str">
        <f t="shared" si="4"/>
        <v/>
      </c>
      <c r="H37" s="66"/>
      <c r="I37" s="58"/>
      <c r="J37" s="67" t="str">
        <f t="shared" si="5"/>
        <v/>
      </c>
      <c r="K37" s="71" t="str">
        <f t="shared" si="6"/>
        <v/>
      </c>
      <c r="L37" s="59" t="str">
        <f t="shared" si="6"/>
        <v/>
      </c>
      <c r="M37" s="67" t="str">
        <f t="shared" si="7"/>
        <v/>
      </c>
      <c r="N37" s="66"/>
      <c r="O37" s="58"/>
      <c r="P37" s="67" t="str">
        <f t="shared" si="8"/>
        <v/>
      </c>
      <c r="Q37" s="66"/>
      <c r="R37" s="58"/>
      <c r="S37" s="67" t="str">
        <f t="shared" si="9"/>
        <v/>
      </c>
      <c r="T37" s="66"/>
      <c r="U37" s="58"/>
      <c r="V37" s="67" t="str">
        <f t="shared" si="10"/>
        <v/>
      </c>
      <c r="W37" s="71" t="str">
        <f t="shared" si="11"/>
        <v/>
      </c>
      <c r="X37" s="59" t="str">
        <f t="shared" si="11"/>
        <v/>
      </c>
      <c r="Y37" s="67" t="str">
        <f t="shared" si="12"/>
        <v/>
      </c>
      <c r="Z37" s="66"/>
      <c r="AA37" s="58"/>
      <c r="AB37" s="67" t="str">
        <f t="shared" si="13"/>
        <v/>
      </c>
      <c r="AC37" s="66"/>
      <c r="AD37" s="58"/>
      <c r="AE37" s="67" t="str">
        <f t="shared" si="14"/>
        <v/>
      </c>
      <c r="AF37" s="66"/>
      <c r="AG37" s="58"/>
      <c r="AH37" s="67" t="str">
        <f t="shared" si="15"/>
        <v/>
      </c>
      <c r="AI37" s="71" t="str">
        <f t="shared" si="16"/>
        <v/>
      </c>
      <c r="AJ37" s="59" t="str">
        <f t="shared" si="16"/>
        <v/>
      </c>
      <c r="AK37" s="67" t="str">
        <f t="shared" si="17"/>
        <v/>
      </c>
      <c r="AL37" s="71" t="str">
        <f t="shared" si="18"/>
        <v/>
      </c>
      <c r="AM37" s="59" t="str">
        <f t="shared" si="18"/>
        <v/>
      </c>
      <c r="AN37" s="67" t="str">
        <f t="shared" si="19"/>
        <v/>
      </c>
    </row>
    <row r="38" spans="1:40" ht="18" customHeight="1">
      <c r="A38" s="74" t="str">
        <f>IF($C$9="Data Not Entered On Set-Up Worksheet","",IF(OR(VLOOKUP($C$9,County_Lookup_MC,23,FALSE)="",VLOOKUP($C$9,County_Lookup_MC,23,FALSE)=0),"",VLOOKUP($C$9,County_Lookup_MC,23,FALSE)))</f>
        <v/>
      </c>
      <c r="B38" s="66"/>
      <c r="C38" s="58"/>
      <c r="D38" s="67" t="str">
        <f t="shared" si="3"/>
        <v/>
      </c>
      <c r="E38" s="66"/>
      <c r="F38" s="58"/>
      <c r="G38" s="67" t="str">
        <f t="shared" si="4"/>
        <v/>
      </c>
      <c r="H38" s="66"/>
      <c r="I38" s="58"/>
      <c r="J38" s="67" t="str">
        <f t="shared" si="5"/>
        <v/>
      </c>
      <c r="K38" s="71" t="str">
        <f t="shared" si="6"/>
        <v/>
      </c>
      <c r="L38" s="59" t="str">
        <f t="shared" si="6"/>
        <v/>
      </c>
      <c r="M38" s="67" t="str">
        <f t="shared" si="7"/>
        <v/>
      </c>
      <c r="N38" s="66"/>
      <c r="O38" s="58"/>
      <c r="P38" s="67" t="str">
        <f t="shared" si="8"/>
        <v/>
      </c>
      <c r="Q38" s="66"/>
      <c r="R38" s="58"/>
      <c r="S38" s="67" t="str">
        <f t="shared" si="9"/>
        <v/>
      </c>
      <c r="T38" s="66"/>
      <c r="U38" s="58"/>
      <c r="V38" s="67" t="str">
        <f t="shared" si="10"/>
        <v/>
      </c>
      <c r="W38" s="71" t="str">
        <f t="shared" si="11"/>
        <v/>
      </c>
      <c r="X38" s="59" t="str">
        <f t="shared" si="11"/>
        <v/>
      </c>
      <c r="Y38" s="67" t="str">
        <f t="shared" si="12"/>
        <v/>
      </c>
      <c r="Z38" s="66"/>
      <c r="AA38" s="58"/>
      <c r="AB38" s="67" t="str">
        <f t="shared" si="13"/>
        <v/>
      </c>
      <c r="AC38" s="66"/>
      <c r="AD38" s="58"/>
      <c r="AE38" s="67" t="str">
        <f t="shared" si="14"/>
        <v/>
      </c>
      <c r="AF38" s="66"/>
      <c r="AG38" s="58"/>
      <c r="AH38" s="67" t="str">
        <f t="shared" si="15"/>
        <v/>
      </c>
      <c r="AI38" s="71" t="str">
        <f t="shared" si="16"/>
        <v/>
      </c>
      <c r="AJ38" s="59" t="str">
        <f t="shared" si="16"/>
        <v/>
      </c>
      <c r="AK38" s="67" t="str">
        <f t="shared" si="17"/>
        <v/>
      </c>
      <c r="AL38" s="71" t="str">
        <f t="shared" si="18"/>
        <v/>
      </c>
      <c r="AM38" s="59" t="str">
        <f t="shared" si="18"/>
        <v/>
      </c>
      <c r="AN38" s="67" t="str">
        <f t="shared" si="19"/>
        <v/>
      </c>
    </row>
    <row r="39" spans="1:40" ht="18" customHeight="1">
      <c r="A39" s="74" t="str">
        <f>IF($C$9="Data Not Entered On Set-Up Worksheet","",IF(OR(VLOOKUP($C$9,County_Lookup_MC,24,FALSE)="",VLOOKUP($C$9,County_Lookup_MC,24,FALSE)=0),"",VLOOKUP($C$9,County_Lookup_MC,24,FALSE)))</f>
        <v/>
      </c>
      <c r="B39" s="66"/>
      <c r="C39" s="58"/>
      <c r="D39" s="67" t="str">
        <f t="shared" ref="D39:D41" si="20">IF($A39="","",IF(C39=0,0,B39/C39))</f>
        <v/>
      </c>
      <c r="E39" s="66"/>
      <c r="F39" s="58"/>
      <c r="G39" s="67" t="str">
        <f t="shared" ref="G39:G41" si="21">IF($A39="","",IF(F39=0,0,E39/F39))</f>
        <v/>
      </c>
      <c r="H39" s="66"/>
      <c r="I39" s="58"/>
      <c r="J39" s="67" t="str">
        <f t="shared" ref="J39:J41" si="22">IF($A39="","",IF(I39=0,0,H39/I39))</f>
        <v/>
      </c>
      <c r="K39" s="71" t="str">
        <f t="shared" ref="K39:K41" si="23">IF($A39="","",SUM(E39,H39))</f>
        <v/>
      </c>
      <c r="L39" s="59" t="str">
        <f t="shared" ref="L39:L41" si="24">IF($A39="","",SUM(F39,I39))</f>
        <v/>
      </c>
      <c r="M39" s="67" t="str">
        <f t="shared" ref="M39:M41" si="25">IF($A39="","",IF(L39=0,0,K39/L39))</f>
        <v/>
      </c>
      <c r="N39" s="66"/>
      <c r="O39" s="58"/>
      <c r="P39" s="67" t="str">
        <f t="shared" ref="P39:P41" si="26">IF($A39="","",IF(O39=0,0,N39/O39))</f>
        <v/>
      </c>
      <c r="Q39" s="66"/>
      <c r="R39" s="58"/>
      <c r="S39" s="67" t="str">
        <f t="shared" ref="S39:S41" si="27">IF($A39="","",IF(R39=0,0,Q39/R39))</f>
        <v/>
      </c>
      <c r="T39" s="66"/>
      <c r="U39" s="58"/>
      <c r="V39" s="67" t="str">
        <f t="shared" ref="V39:V41" si="28">IF($A39="","",IF(U39=0,0,T39/U39))</f>
        <v/>
      </c>
      <c r="W39" s="71" t="str">
        <f t="shared" ref="W39:W41" si="29">IF($A39="","",SUM(Q39,T39))</f>
        <v/>
      </c>
      <c r="X39" s="59" t="str">
        <f t="shared" ref="X39:X41" si="30">IF($A39="","",SUM(R39,U39))</f>
        <v/>
      </c>
      <c r="Y39" s="67" t="str">
        <f t="shared" ref="Y39:Y41" si="31">IF($A39="","",IF(X39=0,0,W39/X39))</f>
        <v/>
      </c>
      <c r="Z39" s="66"/>
      <c r="AA39" s="58"/>
      <c r="AB39" s="67" t="str">
        <f t="shared" ref="AB39:AB41" si="32">IF($A39="","",IF(AA39=0,0,Z39/AA39))</f>
        <v/>
      </c>
      <c r="AC39" s="66"/>
      <c r="AD39" s="58"/>
      <c r="AE39" s="67" t="str">
        <f t="shared" ref="AE39:AE41" si="33">IF($A39="","",IF(AD39=0,0,AC39/AD39))</f>
        <v/>
      </c>
      <c r="AF39" s="66"/>
      <c r="AG39" s="58"/>
      <c r="AH39" s="67" t="str">
        <f t="shared" ref="AH39:AH41" si="34">IF($A39="","",IF(AG39=0,0,AF39/AG39))</f>
        <v/>
      </c>
      <c r="AI39" s="71" t="str">
        <f t="shared" ref="AI39:AI41" si="35">IF($A39="","",SUM(AC39,AF39))</f>
        <v/>
      </c>
      <c r="AJ39" s="59" t="str">
        <f t="shared" ref="AJ39:AJ41" si="36">IF($A39="","",SUM(AD39,AG39))</f>
        <v/>
      </c>
      <c r="AK39" s="67" t="str">
        <f t="shared" ref="AK39:AK41" si="37">IF($A39="","",IF(AJ39=0,0,AI39/AJ39))</f>
        <v/>
      </c>
      <c r="AL39" s="71" t="str">
        <f t="shared" ref="AL39:AL41" si="38">IF($A39="","",SUM(B39,E39,H39,N39,Q39,T39,Z39,AC39,AF39))</f>
        <v/>
      </c>
      <c r="AM39" s="59" t="str">
        <f t="shared" ref="AM39:AM41" si="39">IF($A39="","",SUM(C39,F39,I39,O39,R39,U39,AA39,AD39,AG39))</f>
        <v/>
      </c>
      <c r="AN39" s="67" t="str">
        <f t="shared" ref="AN39:AN41" si="40">IF($A39="","",IF(AM39=0,0,AL39/AM39))</f>
        <v/>
      </c>
    </row>
    <row r="40" spans="1:40" ht="18" customHeight="1">
      <c r="A40" s="74" t="str">
        <f>IF($C$9="Data Not Entered On Set-Up Worksheet","",IF(OR(VLOOKUP($C$9,County_Lookup_MC,25,FALSE)="",VLOOKUP($C$9,County_Lookup_MC,25,FALSE)=0),"",VLOOKUP($C$9,County_Lookup_MC,25,FALSE)))</f>
        <v/>
      </c>
      <c r="B40" s="66"/>
      <c r="C40" s="58"/>
      <c r="D40" s="67" t="str">
        <f t="shared" si="20"/>
        <v/>
      </c>
      <c r="E40" s="66"/>
      <c r="F40" s="58"/>
      <c r="G40" s="67" t="str">
        <f t="shared" si="21"/>
        <v/>
      </c>
      <c r="H40" s="66"/>
      <c r="I40" s="58"/>
      <c r="J40" s="67" t="str">
        <f t="shared" si="22"/>
        <v/>
      </c>
      <c r="K40" s="71" t="str">
        <f t="shared" si="23"/>
        <v/>
      </c>
      <c r="L40" s="59" t="str">
        <f t="shared" si="24"/>
        <v/>
      </c>
      <c r="M40" s="67" t="str">
        <f t="shared" si="25"/>
        <v/>
      </c>
      <c r="N40" s="66"/>
      <c r="O40" s="58"/>
      <c r="P40" s="67" t="str">
        <f t="shared" si="26"/>
        <v/>
      </c>
      <c r="Q40" s="66"/>
      <c r="R40" s="58"/>
      <c r="S40" s="67" t="str">
        <f t="shared" si="27"/>
        <v/>
      </c>
      <c r="T40" s="66"/>
      <c r="U40" s="58"/>
      <c r="V40" s="67" t="str">
        <f t="shared" si="28"/>
        <v/>
      </c>
      <c r="W40" s="71" t="str">
        <f t="shared" si="29"/>
        <v/>
      </c>
      <c r="X40" s="59" t="str">
        <f t="shared" si="30"/>
        <v/>
      </c>
      <c r="Y40" s="67" t="str">
        <f t="shared" si="31"/>
        <v/>
      </c>
      <c r="Z40" s="66"/>
      <c r="AA40" s="58"/>
      <c r="AB40" s="67" t="str">
        <f t="shared" si="32"/>
        <v/>
      </c>
      <c r="AC40" s="66"/>
      <c r="AD40" s="58"/>
      <c r="AE40" s="67" t="str">
        <f t="shared" si="33"/>
        <v/>
      </c>
      <c r="AF40" s="66"/>
      <c r="AG40" s="58"/>
      <c r="AH40" s="67" t="str">
        <f t="shared" si="34"/>
        <v/>
      </c>
      <c r="AI40" s="71" t="str">
        <f t="shared" si="35"/>
        <v/>
      </c>
      <c r="AJ40" s="59" t="str">
        <f t="shared" si="36"/>
        <v/>
      </c>
      <c r="AK40" s="67" t="str">
        <f t="shared" si="37"/>
        <v/>
      </c>
      <c r="AL40" s="71" t="str">
        <f t="shared" si="38"/>
        <v/>
      </c>
      <c r="AM40" s="59" t="str">
        <f t="shared" si="39"/>
        <v/>
      </c>
      <c r="AN40" s="67" t="str">
        <f t="shared" si="40"/>
        <v/>
      </c>
    </row>
    <row r="41" spans="1:40" ht="18" customHeight="1">
      <c r="A41" s="74" t="str">
        <f>IF($C$9="Data Not Entered On Set-Up Worksheet","",IF(OR(VLOOKUP($C$9,County_Lookup_MC,26,FALSE)="",VLOOKUP($C$9,County_Lookup_MC,26,FALSE)=0),"",VLOOKUP($C$9,County_Lookup_MC,26,FALSE)))</f>
        <v/>
      </c>
      <c r="B41" s="66"/>
      <c r="C41" s="58"/>
      <c r="D41" s="67" t="str">
        <f t="shared" si="20"/>
        <v/>
      </c>
      <c r="E41" s="66"/>
      <c r="F41" s="58"/>
      <c r="G41" s="67" t="str">
        <f t="shared" si="21"/>
        <v/>
      </c>
      <c r="H41" s="66"/>
      <c r="I41" s="58"/>
      <c r="J41" s="67" t="str">
        <f t="shared" si="22"/>
        <v/>
      </c>
      <c r="K41" s="71" t="str">
        <f t="shared" si="23"/>
        <v/>
      </c>
      <c r="L41" s="59" t="str">
        <f t="shared" si="24"/>
        <v/>
      </c>
      <c r="M41" s="67" t="str">
        <f t="shared" si="25"/>
        <v/>
      </c>
      <c r="N41" s="66"/>
      <c r="O41" s="58"/>
      <c r="P41" s="67" t="str">
        <f t="shared" si="26"/>
        <v/>
      </c>
      <c r="Q41" s="66"/>
      <c r="R41" s="58"/>
      <c r="S41" s="67" t="str">
        <f t="shared" si="27"/>
        <v/>
      </c>
      <c r="T41" s="66"/>
      <c r="U41" s="58"/>
      <c r="V41" s="67" t="str">
        <f t="shared" si="28"/>
        <v/>
      </c>
      <c r="W41" s="71" t="str">
        <f t="shared" si="29"/>
        <v/>
      </c>
      <c r="X41" s="59" t="str">
        <f t="shared" si="30"/>
        <v/>
      </c>
      <c r="Y41" s="67" t="str">
        <f t="shared" si="31"/>
        <v/>
      </c>
      <c r="Z41" s="66"/>
      <c r="AA41" s="58"/>
      <c r="AB41" s="67" t="str">
        <f t="shared" si="32"/>
        <v/>
      </c>
      <c r="AC41" s="66"/>
      <c r="AD41" s="58"/>
      <c r="AE41" s="67" t="str">
        <f t="shared" si="33"/>
        <v/>
      </c>
      <c r="AF41" s="66"/>
      <c r="AG41" s="58"/>
      <c r="AH41" s="67" t="str">
        <f t="shared" si="34"/>
        <v/>
      </c>
      <c r="AI41" s="71" t="str">
        <f t="shared" si="35"/>
        <v/>
      </c>
      <c r="AJ41" s="59" t="str">
        <f t="shared" si="36"/>
        <v/>
      </c>
      <c r="AK41" s="67" t="str">
        <f t="shared" si="37"/>
        <v/>
      </c>
      <c r="AL41" s="71" t="str">
        <f t="shared" si="38"/>
        <v/>
      </c>
      <c r="AM41" s="59" t="str">
        <f t="shared" si="39"/>
        <v/>
      </c>
      <c r="AN41" s="67" t="str">
        <f t="shared" si="40"/>
        <v/>
      </c>
    </row>
    <row r="42" spans="1:40" ht="18" customHeight="1">
      <c r="A42" s="74" t="str">
        <f>IF($C$9="Data Not Entered On Set-Up Worksheet","",IF(OR(VLOOKUP($C$9,County_Lookup_MC,27,FALSE)="",VLOOKUP($C$9,County_Lookup_MC,27,FALSE)=0),"",VLOOKUP($C$9,County_Lookup_MC,27,FALSE)))</f>
        <v/>
      </c>
      <c r="B42" s="66"/>
      <c r="C42" s="58"/>
      <c r="D42" s="67" t="str">
        <f t="shared" si="3"/>
        <v/>
      </c>
      <c r="E42" s="66"/>
      <c r="F42" s="58"/>
      <c r="G42" s="67" t="str">
        <f t="shared" si="4"/>
        <v/>
      </c>
      <c r="H42" s="66"/>
      <c r="I42" s="58"/>
      <c r="J42" s="67" t="str">
        <f t="shared" si="5"/>
        <v/>
      </c>
      <c r="K42" s="71" t="str">
        <f t="shared" si="6"/>
        <v/>
      </c>
      <c r="L42" s="59" t="str">
        <f t="shared" si="6"/>
        <v/>
      </c>
      <c r="M42" s="67" t="str">
        <f t="shared" si="7"/>
        <v/>
      </c>
      <c r="N42" s="66"/>
      <c r="O42" s="58"/>
      <c r="P42" s="67" t="str">
        <f t="shared" si="8"/>
        <v/>
      </c>
      <c r="Q42" s="66"/>
      <c r="R42" s="58"/>
      <c r="S42" s="67" t="str">
        <f t="shared" si="9"/>
        <v/>
      </c>
      <c r="T42" s="66"/>
      <c r="U42" s="58"/>
      <c r="V42" s="67" t="str">
        <f t="shared" si="10"/>
        <v/>
      </c>
      <c r="W42" s="71" t="str">
        <f t="shared" si="11"/>
        <v/>
      </c>
      <c r="X42" s="59" t="str">
        <f t="shared" si="11"/>
        <v/>
      </c>
      <c r="Y42" s="67" t="str">
        <f t="shared" si="12"/>
        <v/>
      </c>
      <c r="Z42" s="66"/>
      <c r="AA42" s="58"/>
      <c r="AB42" s="67" t="str">
        <f t="shared" si="13"/>
        <v/>
      </c>
      <c r="AC42" s="66"/>
      <c r="AD42" s="58"/>
      <c r="AE42" s="67" t="str">
        <f t="shared" si="14"/>
        <v/>
      </c>
      <c r="AF42" s="66"/>
      <c r="AG42" s="58"/>
      <c r="AH42" s="67" t="str">
        <f t="shared" si="15"/>
        <v/>
      </c>
      <c r="AI42" s="71" t="str">
        <f t="shared" si="16"/>
        <v/>
      </c>
      <c r="AJ42" s="59" t="str">
        <f t="shared" si="16"/>
        <v/>
      </c>
      <c r="AK42" s="67" t="str">
        <f t="shared" si="17"/>
        <v/>
      </c>
      <c r="AL42" s="71" t="str">
        <f t="shared" si="18"/>
        <v/>
      </c>
      <c r="AM42" s="59" t="str">
        <f t="shared" si="18"/>
        <v/>
      </c>
      <c r="AN42" s="67" t="str">
        <f t="shared" si="19"/>
        <v/>
      </c>
    </row>
    <row r="43" spans="1:40" ht="18" customHeight="1" thickBot="1">
      <c r="A43" s="75" t="s">
        <v>0</v>
      </c>
      <c r="B43" s="68">
        <f>SUM(B17:B42)</f>
        <v>0</v>
      </c>
      <c r="C43" s="69">
        <f>SUM(C17:C42)</f>
        <v>0</v>
      </c>
      <c r="D43" s="70">
        <f t="shared" ref="D43" si="41">IF(C43=0,0,B43/C43)</f>
        <v>0</v>
      </c>
      <c r="E43" s="68">
        <f>SUM(E17:E42)</f>
        <v>0</v>
      </c>
      <c r="F43" s="69">
        <f>SUM(F17:F42)</f>
        <v>0</v>
      </c>
      <c r="G43" s="70">
        <f t="shared" ref="G43" si="42">IF(F43=0,0,E43/F43)</f>
        <v>0</v>
      </c>
      <c r="H43" s="68">
        <f>SUM(H17:H42)</f>
        <v>0</v>
      </c>
      <c r="I43" s="69">
        <f>SUM(I17:I42)</f>
        <v>0</v>
      </c>
      <c r="J43" s="70">
        <f t="shared" ref="J43" si="43">IF(I43=0,0,H43/I43)</f>
        <v>0</v>
      </c>
      <c r="K43" s="68">
        <f>SUM(K17:K42)</f>
        <v>0</v>
      </c>
      <c r="L43" s="69">
        <f>SUM(L17:L42)</f>
        <v>0</v>
      </c>
      <c r="M43" s="70">
        <f t="shared" ref="M43" si="44">IF(L43=0,0,K43/L43)</f>
        <v>0</v>
      </c>
      <c r="N43" s="68">
        <f>SUM(N17:N42)</f>
        <v>0</v>
      </c>
      <c r="O43" s="69">
        <f>SUM(O17:O42)</f>
        <v>0</v>
      </c>
      <c r="P43" s="70">
        <f t="shared" ref="P43" si="45">IF(O43=0,0,N43/O43)</f>
        <v>0</v>
      </c>
      <c r="Q43" s="68">
        <f>SUM(Q17:Q42)</f>
        <v>0</v>
      </c>
      <c r="R43" s="69">
        <f>SUM(R17:R42)</f>
        <v>0</v>
      </c>
      <c r="S43" s="70">
        <f t="shared" ref="S43" si="46">IF(R43=0,0,Q43/R43)</f>
        <v>0</v>
      </c>
      <c r="T43" s="68">
        <f>SUM(T17:T42)</f>
        <v>0</v>
      </c>
      <c r="U43" s="69">
        <f>SUM(U17:U42)</f>
        <v>0</v>
      </c>
      <c r="V43" s="70">
        <f t="shared" ref="V43" si="47">IF(U43=0,0,T43/U43)</f>
        <v>0</v>
      </c>
      <c r="W43" s="68">
        <f>SUM(W17:W42)</f>
        <v>0</v>
      </c>
      <c r="X43" s="69">
        <f>SUM(X17:X42)</f>
        <v>0</v>
      </c>
      <c r="Y43" s="70">
        <f t="shared" ref="Y43" si="48">IF(X43=0,0,W43/X43)</f>
        <v>0</v>
      </c>
      <c r="Z43" s="68">
        <f>SUM(Z17:Z42)</f>
        <v>0</v>
      </c>
      <c r="AA43" s="69">
        <f>SUM(AA17:AA42)</f>
        <v>0</v>
      </c>
      <c r="AB43" s="70">
        <f t="shared" ref="AB43" si="49">IF(AA43=0,0,Z43/AA43)</f>
        <v>0</v>
      </c>
      <c r="AC43" s="68">
        <f>SUM(AC17:AC42)</f>
        <v>0</v>
      </c>
      <c r="AD43" s="69">
        <f>SUM(AD17:AD42)</f>
        <v>0</v>
      </c>
      <c r="AE43" s="70">
        <f t="shared" ref="AE43" si="50">IF(AD43=0,0,AC43/AD43)</f>
        <v>0</v>
      </c>
      <c r="AF43" s="68">
        <f>SUM(AF17:AF42)</f>
        <v>0</v>
      </c>
      <c r="AG43" s="69">
        <f>SUM(AG17:AG42)</f>
        <v>0</v>
      </c>
      <c r="AH43" s="70">
        <f t="shared" ref="AH43" si="51">IF(AG43=0,0,AF43/AG43)</f>
        <v>0</v>
      </c>
      <c r="AI43" s="68">
        <f>SUM(AI17:AI42)</f>
        <v>0</v>
      </c>
      <c r="AJ43" s="69">
        <f>SUM(AJ17:AJ42)</f>
        <v>0</v>
      </c>
      <c r="AK43" s="70">
        <f t="shared" ref="AK43" si="52">IF(AJ43=0,0,AI43/AJ43)</f>
        <v>0</v>
      </c>
      <c r="AL43" s="68">
        <f>SUM(AL17:AL42)</f>
        <v>0</v>
      </c>
      <c r="AM43" s="69">
        <f>SUM(AM17:AM42)</f>
        <v>0</v>
      </c>
      <c r="AN43" s="70">
        <f t="shared" ref="AN43" si="53">IF(AM43=0,0,AL43/AM43)</f>
        <v>0</v>
      </c>
    </row>
  </sheetData>
  <sheetProtection sheet="1" objects="1" scenarios="1"/>
  <conditionalFormatting sqref="C3:C4">
    <cfRule type="expression" dxfId="578" priority="85">
      <formula>C3="Data Not Entered On Set-Up Worksheet"</formula>
    </cfRule>
  </conditionalFormatting>
  <conditionalFormatting sqref="C9">
    <cfRule type="expression" dxfId="577" priority="84">
      <formula>C9="Data Not Entered On Set-Up Worksheet"</formula>
    </cfRule>
  </conditionalFormatting>
  <conditionalFormatting sqref="C12">
    <cfRule type="expression" dxfId="576" priority="83">
      <formula>C12="Data Not Entered On Set-Up Worksheet"</formula>
    </cfRule>
  </conditionalFormatting>
  <conditionalFormatting sqref="B17:C39 B42:C42">
    <cfRule type="expression" dxfId="575" priority="82">
      <formula>AND($A17&lt;&gt;"",B17="")</formula>
    </cfRule>
  </conditionalFormatting>
  <conditionalFormatting sqref="F3">
    <cfRule type="expression" dxfId="574" priority="81">
      <formula>F3="Data Not Entered On Set-Up Worksheet"</formula>
    </cfRule>
  </conditionalFormatting>
  <conditionalFormatting sqref="F12">
    <cfRule type="expression" dxfId="573" priority="80">
      <formula>F12="Data Not Entered On Set-Up Worksheet"</formula>
    </cfRule>
  </conditionalFormatting>
  <conditionalFormatting sqref="I3">
    <cfRule type="expression" dxfId="572" priority="79">
      <formula>I3="Data Not Entered On Set-Up Worksheet"</formula>
    </cfRule>
  </conditionalFormatting>
  <conditionalFormatting sqref="I9">
    <cfRule type="expression" dxfId="571" priority="78">
      <formula>I9="Data Not Entered On Set-Up Worksheet"</formula>
    </cfRule>
  </conditionalFormatting>
  <conditionalFormatting sqref="I11:I12">
    <cfRule type="expression" dxfId="570" priority="77">
      <formula>I11="Data Not Entered On Set-Up Worksheet"</formula>
    </cfRule>
  </conditionalFormatting>
  <conditionalFormatting sqref="L3">
    <cfRule type="expression" dxfId="569" priority="76">
      <formula>L3="Data Not Entered On Set-Up Worksheet"</formula>
    </cfRule>
  </conditionalFormatting>
  <conditionalFormatting sqref="L9">
    <cfRule type="expression" dxfId="568" priority="75">
      <formula>L9="Data Not Entered On Set-Up Worksheet"</formula>
    </cfRule>
  </conditionalFormatting>
  <conditionalFormatting sqref="L11:L12">
    <cfRule type="expression" dxfId="567" priority="74">
      <formula>L11="Data Not Entered On Set-Up Worksheet"</formula>
    </cfRule>
  </conditionalFormatting>
  <conditionalFormatting sqref="O3">
    <cfRule type="expression" dxfId="566" priority="73">
      <formula>O3="Data Not Entered On Set-Up Worksheet"</formula>
    </cfRule>
  </conditionalFormatting>
  <conditionalFormatting sqref="O9">
    <cfRule type="expression" dxfId="565" priority="72">
      <formula>O9="Data Not Entered On Set-Up Worksheet"</formula>
    </cfRule>
  </conditionalFormatting>
  <conditionalFormatting sqref="O11:O12">
    <cfRule type="expression" dxfId="564" priority="71">
      <formula>O11="Data Not Entered On Set-Up Worksheet"</formula>
    </cfRule>
  </conditionalFormatting>
  <conditionalFormatting sqref="R3">
    <cfRule type="expression" dxfId="563" priority="70">
      <formula>R3="Data Not Entered On Set-Up Worksheet"</formula>
    </cfRule>
  </conditionalFormatting>
  <conditionalFormatting sqref="R9">
    <cfRule type="expression" dxfId="562" priority="69">
      <formula>R9="Data Not Entered On Set-Up Worksheet"</formula>
    </cfRule>
  </conditionalFormatting>
  <conditionalFormatting sqref="R11:R12">
    <cfRule type="expression" dxfId="561" priority="68">
      <formula>R11="Data Not Entered On Set-Up Worksheet"</formula>
    </cfRule>
  </conditionalFormatting>
  <conditionalFormatting sqref="U3">
    <cfRule type="expression" dxfId="560" priority="67">
      <formula>U3="Data Not Entered On Set-Up Worksheet"</formula>
    </cfRule>
  </conditionalFormatting>
  <conditionalFormatting sqref="U9">
    <cfRule type="expression" dxfId="559" priority="66">
      <formula>U9="Data Not Entered On Set-Up Worksheet"</formula>
    </cfRule>
  </conditionalFormatting>
  <conditionalFormatting sqref="U11:U12">
    <cfRule type="expression" dxfId="558" priority="65">
      <formula>U11="Data Not Entered On Set-Up Worksheet"</formula>
    </cfRule>
  </conditionalFormatting>
  <conditionalFormatting sqref="AM3">
    <cfRule type="expression" dxfId="557" priority="64">
      <formula>AM3="Data Not Entered On Set-Up Worksheet"</formula>
    </cfRule>
  </conditionalFormatting>
  <conditionalFormatting sqref="AM9">
    <cfRule type="expression" dxfId="556" priority="63">
      <formula>AM9="Data Not Entered On Set-Up Worksheet"</formula>
    </cfRule>
  </conditionalFormatting>
  <conditionalFormatting sqref="AM11:AM12">
    <cfRule type="expression" dxfId="555" priority="62">
      <formula>AM11="Data Not Entered On Set-Up Worksheet"</formula>
    </cfRule>
  </conditionalFormatting>
  <conditionalFormatting sqref="E17:F39 E42:F42">
    <cfRule type="expression" dxfId="554" priority="61">
      <formula>AND($A17&lt;&gt;"",E17="")</formula>
    </cfRule>
  </conditionalFormatting>
  <conditionalFormatting sqref="H17:I39 H42:I42">
    <cfRule type="expression" dxfId="553" priority="60">
      <formula>AND($A17&lt;&gt;"",H17="")</formula>
    </cfRule>
  </conditionalFormatting>
  <conditionalFormatting sqref="N17:O39 N42:O42">
    <cfRule type="expression" dxfId="552" priority="59">
      <formula>AND($A17&lt;&gt;"",N17="")</formula>
    </cfRule>
  </conditionalFormatting>
  <conditionalFormatting sqref="Q17:R39 Q42:R42">
    <cfRule type="expression" dxfId="551" priority="58">
      <formula>AND($A17&lt;&gt;"",Q17="")</formula>
    </cfRule>
  </conditionalFormatting>
  <conditionalFormatting sqref="T17:U39 T42:U42">
    <cfRule type="expression" dxfId="550" priority="57">
      <formula>AND($A17&lt;&gt;"",T17="")</formula>
    </cfRule>
  </conditionalFormatting>
  <conditionalFormatting sqref="C11">
    <cfRule type="expression" dxfId="549" priority="56">
      <formula>C11="Data Not Entered On Set-Up Worksheet"</formula>
    </cfRule>
  </conditionalFormatting>
  <conditionalFormatting sqref="X3">
    <cfRule type="expression" dxfId="548" priority="55">
      <formula>X3="Data Not Entered On Set-Up Worksheet"</formula>
    </cfRule>
  </conditionalFormatting>
  <conditionalFormatting sqref="X9">
    <cfRule type="expression" dxfId="547" priority="54">
      <formula>X9="Data Not Entered On Set-Up Worksheet"</formula>
    </cfRule>
  </conditionalFormatting>
  <conditionalFormatting sqref="X11:X12">
    <cfRule type="expression" dxfId="546" priority="53">
      <formula>X11="Data Not Entered On Set-Up Worksheet"</formula>
    </cfRule>
  </conditionalFormatting>
  <conditionalFormatting sqref="AA3">
    <cfRule type="expression" dxfId="545" priority="52">
      <formula>AA3="Data Not Entered On Set-Up Worksheet"</formula>
    </cfRule>
  </conditionalFormatting>
  <conditionalFormatting sqref="AA9">
    <cfRule type="expression" dxfId="544" priority="51">
      <formula>AA9="Data Not Entered On Set-Up Worksheet"</formula>
    </cfRule>
  </conditionalFormatting>
  <conditionalFormatting sqref="AA11:AA12">
    <cfRule type="expression" dxfId="543" priority="50">
      <formula>AA11="Data Not Entered On Set-Up Worksheet"</formula>
    </cfRule>
  </conditionalFormatting>
  <conditionalFormatting sqref="AD3">
    <cfRule type="expression" dxfId="542" priority="49">
      <formula>AD3="Data Not Entered On Set-Up Worksheet"</formula>
    </cfRule>
  </conditionalFormatting>
  <conditionalFormatting sqref="AD9">
    <cfRule type="expression" dxfId="541" priority="48">
      <formula>AD9="Data Not Entered On Set-Up Worksheet"</formula>
    </cfRule>
  </conditionalFormatting>
  <conditionalFormatting sqref="AD11:AD12">
    <cfRule type="expression" dxfId="540" priority="47">
      <formula>AD11="Data Not Entered On Set-Up Worksheet"</formula>
    </cfRule>
  </conditionalFormatting>
  <conditionalFormatting sqref="AG3">
    <cfRule type="expression" dxfId="539" priority="46">
      <formula>AG3="Data Not Entered On Set-Up Worksheet"</formula>
    </cfRule>
  </conditionalFormatting>
  <conditionalFormatting sqref="AG9">
    <cfRule type="expression" dxfId="538" priority="45">
      <formula>AG9="Data Not Entered On Set-Up Worksheet"</formula>
    </cfRule>
  </conditionalFormatting>
  <conditionalFormatting sqref="AG11:AG12">
    <cfRule type="expression" dxfId="537" priority="44">
      <formula>AG11="Data Not Entered On Set-Up Worksheet"</formula>
    </cfRule>
  </conditionalFormatting>
  <conditionalFormatting sqref="Z17:AA39 Z42:AA42">
    <cfRule type="expression" dxfId="536" priority="43">
      <formula>AND($A17&lt;&gt;"",Z17="")</formula>
    </cfRule>
  </conditionalFormatting>
  <conditionalFormatting sqref="AC17:AD39 AC42:AD42">
    <cfRule type="expression" dxfId="535" priority="42">
      <formula>AND($A17&lt;&gt;"",AC17="")</formula>
    </cfRule>
  </conditionalFormatting>
  <conditionalFormatting sqref="AF17:AG39 AF42:AG42">
    <cfRule type="expression" dxfId="534" priority="41">
      <formula>AND($A17&lt;&gt;"",AF17="")</formula>
    </cfRule>
  </conditionalFormatting>
  <conditionalFormatting sqref="AJ3">
    <cfRule type="expression" dxfId="533" priority="40">
      <formula>AJ3="Data Not Entered On Set-Up Worksheet"</formula>
    </cfRule>
  </conditionalFormatting>
  <conditionalFormatting sqref="AJ9">
    <cfRule type="expression" dxfId="532" priority="39">
      <formula>AJ9="Data Not Entered On Set-Up Worksheet"</formula>
    </cfRule>
  </conditionalFormatting>
  <conditionalFormatting sqref="AJ11:AJ12">
    <cfRule type="expression" dxfId="531" priority="38">
      <formula>AJ11="Data Not Entered On Set-Up Worksheet"</formula>
    </cfRule>
  </conditionalFormatting>
  <conditionalFormatting sqref="F10:F11">
    <cfRule type="expression" dxfId="530" priority="28">
      <formula>F10="Data Not Entered On Set-Up Worksheet"</formula>
    </cfRule>
  </conditionalFormatting>
  <conditionalFormatting sqref="E39:F39">
    <cfRule type="expression" dxfId="529" priority="26">
      <formula>AND($A39&lt;&gt;"",E39="")</formula>
    </cfRule>
  </conditionalFormatting>
  <conditionalFormatting sqref="H39:I39">
    <cfRule type="expression" dxfId="528" priority="25">
      <formula>AND($A39&lt;&gt;"",H39="")</formula>
    </cfRule>
  </conditionalFormatting>
  <conditionalFormatting sqref="N39:O39">
    <cfRule type="expression" dxfId="527" priority="24">
      <formula>AND($A39&lt;&gt;"",N39="")</formula>
    </cfRule>
  </conditionalFormatting>
  <conditionalFormatting sqref="Q39:R39">
    <cfRule type="expression" dxfId="526" priority="23">
      <formula>AND($A39&lt;&gt;"",Q39="")</formula>
    </cfRule>
  </conditionalFormatting>
  <conditionalFormatting sqref="T39:U39">
    <cfRule type="expression" dxfId="525" priority="22">
      <formula>AND($A39&lt;&gt;"",T39="")</formula>
    </cfRule>
  </conditionalFormatting>
  <conditionalFormatting sqref="Z39:AA39">
    <cfRule type="expression" dxfId="524" priority="21">
      <formula>AND($A39&lt;&gt;"",Z39="")</formula>
    </cfRule>
  </conditionalFormatting>
  <conditionalFormatting sqref="AC39:AD39">
    <cfRule type="expression" dxfId="523" priority="20">
      <formula>AND($A39&lt;&gt;"",AC39="")</formula>
    </cfRule>
  </conditionalFormatting>
  <conditionalFormatting sqref="AF39:AG39">
    <cfRule type="expression" dxfId="522" priority="19">
      <formula>AND($A39&lt;&gt;"",AF39="")</formula>
    </cfRule>
  </conditionalFormatting>
  <conditionalFormatting sqref="B40:C40">
    <cfRule type="expression" dxfId="521" priority="18">
      <formula>AND($A40&lt;&gt;"",B40="")</formula>
    </cfRule>
  </conditionalFormatting>
  <conditionalFormatting sqref="E40:F40">
    <cfRule type="expression" dxfId="520" priority="17">
      <formula>AND($A40&lt;&gt;"",E40="")</formula>
    </cfRule>
  </conditionalFormatting>
  <conditionalFormatting sqref="H40:I40">
    <cfRule type="expression" dxfId="519" priority="16">
      <formula>AND($A40&lt;&gt;"",H40="")</formula>
    </cfRule>
  </conditionalFormatting>
  <conditionalFormatting sqref="N40:O40">
    <cfRule type="expression" dxfId="518" priority="15">
      <formula>AND($A40&lt;&gt;"",N40="")</formula>
    </cfRule>
  </conditionalFormatting>
  <conditionalFormatting sqref="Q40:R40">
    <cfRule type="expression" dxfId="517" priority="14">
      <formula>AND($A40&lt;&gt;"",Q40="")</formula>
    </cfRule>
  </conditionalFormatting>
  <conditionalFormatting sqref="T40:U40">
    <cfRule type="expression" dxfId="516" priority="13">
      <formula>AND($A40&lt;&gt;"",T40="")</formula>
    </cfRule>
  </conditionalFormatting>
  <conditionalFormatting sqref="Z40:AA40">
    <cfRule type="expression" dxfId="515" priority="12">
      <formula>AND($A40&lt;&gt;"",Z40="")</formula>
    </cfRule>
  </conditionalFormatting>
  <conditionalFormatting sqref="AC40:AD40">
    <cfRule type="expression" dxfId="514" priority="11">
      <formula>AND($A40&lt;&gt;"",AC40="")</formula>
    </cfRule>
  </conditionalFormatting>
  <conditionalFormatting sqref="AF40:AG40">
    <cfRule type="expression" dxfId="513" priority="10">
      <formula>AND($A40&lt;&gt;"",AF40="")</formula>
    </cfRule>
  </conditionalFormatting>
  <conditionalFormatting sqref="B41:C41">
    <cfRule type="expression" dxfId="512" priority="9">
      <formula>AND($A41&lt;&gt;"",B41="")</formula>
    </cfRule>
  </conditionalFormatting>
  <conditionalFormatting sqref="E41:F41">
    <cfRule type="expression" dxfId="511" priority="8">
      <formula>AND($A41&lt;&gt;"",E41="")</formula>
    </cfRule>
  </conditionalFormatting>
  <conditionalFormatting sqref="H41:I41">
    <cfRule type="expression" dxfId="510" priority="7">
      <formula>AND($A41&lt;&gt;"",H41="")</formula>
    </cfRule>
  </conditionalFormatting>
  <conditionalFormatting sqref="N41:O41">
    <cfRule type="expression" dxfId="509" priority="6">
      <formula>AND($A41&lt;&gt;"",N41="")</formula>
    </cfRule>
  </conditionalFormatting>
  <conditionalFormatting sqref="Q41:R41">
    <cfRule type="expression" dxfId="508" priority="5">
      <formula>AND($A41&lt;&gt;"",Q41="")</formula>
    </cfRule>
  </conditionalFormatting>
  <conditionalFormatting sqref="T41:U41">
    <cfRule type="expression" dxfId="507" priority="4">
      <formula>AND($A41&lt;&gt;"",T41="")</formula>
    </cfRule>
  </conditionalFormatting>
  <conditionalFormatting sqref="Z41:AA41">
    <cfRule type="expression" dxfId="506" priority="3">
      <formula>AND($A41&lt;&gt;"",Z41="")</formula>
    </cfRule>
  </conditionalFormatting>
  <conditionalFormatting sqref="AC41:AD41">
    <cfRule type="expression" dxfId="505" priority="2">
      <formula>AND($A41&lt;&gt;"",AC41="")</formula>
    </cfRule>
  </conditionalFormatting>
  <conditionalFormatting sqref="AF41:AG41">
    <cfRule type="expression" dxfId="504" priority="1">
      <formula>AND($A41&lt;&gt;"",AF41="")</formula>
    </cfRule>
  </conditionalFormatting>
  <pageMargins left="0.5" right="0.5" top="0.5" bottom="0.5" header="0.3" footer="0.3"/>
  <pageSetup scale="55"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pageSetUpPr fitToPage="1"/>
  </sheetPr>
  <dimension ref="A1:I16"/>
  <sheetViews>
    <sheetView showGridLines="0" workbookViewId="0">
      <selection activeCell="E7" sqref="E7"/>
    </sheetView>
  </sheetViews>
  <sheetFormatPr defaultRowHeight="12.75"/>
  <cols>
    <col min="1" max="1" width="22.42578125" style="22" customWidth="1"/>
    <col min="2" max="2" width="9.140625" style="22"/>
    <col min="3" max="3" width="20" style="22" customWidth="1"/>
    <col min="4" max="4" width="15.7109375" style="22" customWidth="1"/>
    <col min="5" max="5" width="21" style="22" bestFit="1" customWidth="1"/>
    <col min="6" max="6" width="15.7109375" style="22" customWidth="1"/>
    <col min="7" max="16384" width="9.140625" style="22"/>
  </cols>
  <sheetData>
    <row r="1" spans="1:9" ht="15" customHeight="1">
      <c r="A1" s="35" t="s">
        <v>23</v>
      </c>
    </row>
    <row r="2" spans="1:9" ht="15" customHeight="1">
      <c r="A2" s="35" t="s">
        <v>187</v>
      </c>
    </row>
    <row r="3" spans="1:9" ht="15" customHeight="1">
      <c r="A3" s="30" t="s">
        <v>185</v>
      </c>
      <c r="C3" s="138">
        <f>IF('Set-Up Worksheet'!F3="","Data Not Entered On Set-Up Worksheet",'Set-Up Worksheet'!F3)</f>
        <v>2021</v>
      </c>
    </row>
    <row r="4" spans="1:9" ht="15" customHeight="1">
      <c r="A4" s="30" t="s">
        <v>186</v>
      </c>
      <c r="C4" s="138" t="str">
        <f>IF('Set-Up Worksheet'!F4="","Data Not Entered On Set-Up Worksheet",'Set-Up Worksheet'!F4)</f>
        <v>1st Quarter</v>
      </c>
    </row>
    <row r="5" spans="1:9" ht="15" customHeight="1">
      <c r="C5" s="32"/>
    </row>
    <row r="6" spans="1:9" ht="15" customHeight="1">
      <c r="A6" s="30" t="s">
        <v>262</v>
      </c>
      <c r="C6" s="32"/>
    </row>
    <row r="7" spans="1:9" ht="15" customHeight="1">
      <c r="A7" s="30" t="s">
        <v>303</v>
      </c>
      <c r="C7" s="32"/>
    </row>
    <row r="8" spans="1:9" ht="15" customHeight="1">
      <c r="A8" s="30"/>
      <c r="C8" s="32"/>
    </row>
    <row r="9" spans="1:9" ht="15" customHeight="1">
      <c r="A9" s="30" t="s">
        <v>24</v>
      </c>
      <c r="C9" s="38" t="str">
        <f>IF('Set-Up Worksheet'!E7="","Data Not Entered On Set-Up Worksheet",'Set-Up Worksheet'!E7)</f>
        <v>Data Not Entered On Set-Up Worksheet</v>
      </c>
    </row>
    <row r="10" spans="1:9" ht="15" customHeight="1">
      <c r="A10" s="30" t="s">
        <v>9</v>
      </c>
      <c r="C10" s="32" t="s">
        <v>10</v>
      </c>
    </row>
    <row r="11" spans="1:9" ht="15" customHeight="1">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2020</v>
      </c>
      <c r="E11" s="51" t="s">
        <v>307</v>
      </c>
      <c r="F11" s="22" t="str">
        <f>IF(C4="Data Not Entered On Set-Up Worksheet","Data Not Entered On Set-Up Worksheet",IF(C4="1st Quarter",'Report Schedule'!D34,IF(C4="2nd Quarter",'Report Schedule'!E34,IF(C4="3rd Quarter",'Report Schedule'!F34,IF(C4="4th Quarter",'Report Schedule'!G34,"")))))</f>
        <v>Jan - Mar 2020</v>
      </c>
    </row>
    <row r="14" spans="1:9" ht="112.5" customHeight="1">
      <c r="A14" s="443" t="s">
        <v>304</v>
      </c>
      <c r="B14" s="443"/>
      <c r="C14" s="443"/>
      <c r="D14" s="443"/>
      <c r="E14" s="443"/>
      <c r="F14" s="443"/>
      <c r="G14" s="443"/>
      <c r="H14" s="443"/>
      <c r="I14" s="46"/>
    </row>
    <row r="15" spans="1:9">
      <c r="A15" s="46"/>
      <c r="B15" s="46"/>
      <c r="C15" s="46"/>
      <c r="D15" s="46"/>
      <c r="E15" s="46"/>
      <c r="F15" s="46"/>
      <c r="G15" s="46"/>
      <c r="H15" s="46"/>
      <c r="I15" s="46"/>
    </row>
    <row r="16" spans="1:9">
      <c r="A16" s="46"/>
      <c r="B16" s="46"/>
      <c r="C16" s="46"/>
      <c r="D16" s="46"/>
      <c r="E16" s="46"/>
      <c r="F16" s="46"/>
      <c r="G16" s="46"/>
      <c r="H16" s="46"/>
      <c r="I16" s="46"/>
    </row>
  </sheetData>
  <sheetProtection sheet="1" objects="1" scenarios="1"/>
  <mergeCells count="1">
    <mergeCell ref="A14:H14"/>
  </mergeCells>
  <conditionalFormatting sqref="C3:C4">
    <cfRule type="expression" dxfId="503" priority="3">
      <formula>C3="Data Not Entered On Set-Up Worksheet"</formula>
    </cfRule>
  </conditionalFormatting>
  <conditionalFormatting sqref="C9">
    <cfRule type="expression" dxfId="502" priority="2">
      <formula>C9="Data Not Entered On Set-Up Worksheet"</formula>
    </cfRule>
  </conditionalFormatting>
  <conditionalFormatting sqref="D11">
    <cfRule type="expression" dxfId="501"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5" t="s">
        <v>23</v>
      </c>
      <c r="E1" s="30"/>
      <c r="H1" s="30"/>
    </row>
    <row r="2" spans="1:22" ht="15" customHeight="1">
      <c r="A2" s="35" t="s">
        <v>187</v>
      </c>
      <c r="E2" s="214"/>
      <c r="H2" s="214"/>
    </row>
    <row r="3" spans="1:22" ht="15" customHeight="1">
      <c r="A3" s="30" t="s">
        <v>185</v>
      </c>
      <c r="C3" s="138">
        <f>IF('Set-Up Worksheet'!F3="","Data Not Entered On Set-Up Worksheet",'Set-Up Worksheet'!F3)</f>
        <v>2021</v>
      </c>
      <c r="D3" s="138"/>
      <c r="G3" s="138"/>
      <c r="J3" s="138"/>
    </row>
    <row r="4" spans="1:22" ht="15" customHeight="1">
      <c r="A4" s="30" t="s">
        <v>186</v>
      </c>
      <c r="C4" s="138" t="str">
        <f>IF('Set-Up Worksheet'!F4="","Data Not Entered On Set-Up Worksheet",'Set-Up Worksheet'!F4)</f>
        <v>1st Quarter</v>
      </c>
      <c r="D4" s="138"/>
      <c r="G4" s="138"/>
      <c r="J4" s="138"/>
    </row>
    <row r="5" spans="1:22" ht="15" customHeight="1">
      <c r="A5" s="30"/>
      <c r="C5" s="32"/>
      <c r="D5" s="32"/>
      <c r="G5" s="32"/>
      <c r="J5" s="32"/>
    </row>
    <row r="6" spans="1:22" ht="15" customHeight="1">
      <c r="A6" s="30" t="s">
        <v>262</v>
      </c>
      <c r="C6" s="32"/>
      <c r="D6" s="32"/>
      <c r="E6" s="30"/>
      <c r="G6" s="32"/>
      <c r="H6" s="30"/>
      <c r="J6" s="32"/>
    </row>
    <row r="7" spans="1:22" ht="15" customHeight="1">
      <c r="A7" s="31" t="s">
        <v>308</v>
      </c>
      <c r="C7" s="32"/>
      <c r="D7" s="32"/>
      <c r="E7" s="30"/>
      <c r="G7" s="32"/>
      <c r="H7" s="30"/>
      <c r="J7" s="32"/>
    </row>
    <row r="8" spans="1:22" ht="15" customHeight="1">
      <c r="A8" s="30"/>
      <c r="C8" s="32"/>
      <c r="D8" s="32"/>
      <c r="G8" s="32"/>
      <c r="J8" s="32"/>
      <c r="N8" s="51"/>
      <c r="O8" s="51"/>
      <c r="P8" s="52"/>
      <c r="Q8" s="51"/>
      <c r="R8" s="51"/>
      <c r="S8" s="51"/>
      <c r="T8" s="51"/>
      <c r="U8" s="30"/>
      <c r="V8" s="34"/>
    </row>
    <row r="9" spans="1:22" ht="15" customHeight="1">
      <c r="A9" s="30" t="s">
        <v>24</v>
      </c>
      <c r="C9" s="38" t="str">
        <f>IF('Set-Up Worksheet'!E7="","Data Not Entered On Set-Up Worksheet",'Set-Up Worksheet'!E7)</f>
        <v>Data Not Entered On Set-Up Worksheet</v>
      </c>
      <c r="D9" s="38"/>
      <c r="F9" s="76" t="s">
        <v>362</v>
      </c>
      <c r="G9" s="38"/>
      <c r="J9" s="38"/>
    </row>
    <row r="10" spans="1:22" ht="15" customHeight="1">
      <c r="A10" s="30" t="s">
        <v>9</v>
      </c>
      <c r="C10" s="32" t="s">
        <v>10</v>
      </c>
      <c r="D10" s="32"/>
      <c r="F10" s="76"/>
      <c r="G10" s="32"/>
      <c r="J10" s="32"/>
    </row>
    <row r="11" spans="1:22" ht="15" customHeight="1">
      <c r="A11" s="30" t="s">
        <v>188</v>
      </c>
      <c r="C11" s="39" t="str">
        <f>IF(C4="Data Not Entered On Set-Up Worksheet","Data Not Entered On Set-Up Worksheet",IF(C4="1st Quarter",'Report Schedule'!D37,IF(C4="2nd Quarter",'Report Schedule'!E37,IF(C4="3rd Quarter",'Report Schedule'!F37,IF(C4="4th Quarter",'Report Schedule'!G37,"")))))</f>
        <v>Apr - Jun 2020</v>
      </c>
      <c r="D11" s="39"/>
      <c r="G11" s="39"/>
      <c r="J11" s="39"/>
    </row>
    <row r="12" spans="1:22" ht="15" customHeight="1" thickBot="1">
      <c r="A12" s="30"/>
      <c r="C12" s="39"/>
      <c r="D12" s="39"/>
      <c r="G12" s="39"/>
      <c r="J12" s="39"/>
    </row>
    <row r="13" spans="1:22" ht="18" customHeight="1" thickBot="1">
      <c r="A13" s="146" t="s">
        <v>252</v>
      </c>
      <c r="B13" s="273" t="s">
        <v>34</v>
      </c>
      <c r="C13" s="151"/>
      <c r="D13" s="152"/>
      <c r="E13" s="272" t="s">
        <v>189</v>
      </c>
      <c r="F13" s="147"/>
      <c r="G13" s="148"/>
      <c r="H13" s="273" t="s">
        <v>191</v>
      </c>
      <c r="I13" s="151"/>
      <c r="J13" s="152"/>
    </row>
    <row r="14" spans="1:22" s="34" customFormat="1" ht="13.5" thickBot="1">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c r="A15" s="72" t="s">
        <v>38</v>
      </c>
      <c r="B15" s="158" t="s">
        <v>26</v>
      </c>
      <c r="C15" s="156" t="s">
        <v>25</v>
      </c>
      <c r="D15" s="157" t="s">
        <v>27</v>
      </c>
      <c r="E15" s="222" t="s">
        <v>26</v>
      </c>
      <c r="F15" s="64" t="s">
        <v>25</v>
      </c>
      <c r="G15" s="65" t="s">
        <v>27</v>
      </c>
      <c r="H15" s="224" t="s">
        <v>26</v>
      </c>
      <c r="I15" s="156" t="s">
        <v>25</v>
      </c>
      <c r="J15" s="157" t="s">
        <v>27</v>
      </c>
    </row>
    <row r="16" spans="1:22" ht="18" customHeight="1">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500" priority="22">
      <formula>C3="Data Not Entered On Set-Up Worksheet"</formula>
    </cfRule>
  </conditionalFormatting>
  <conditionalFormatting sqref="B16:C38 E16:F38 H16:I38 H42:I42 E42:F42 B42:C42">
    <cfRule type="expression" dxfId="499" priority="20">
      <formula>AND($A16&lt;&gt;"",B16="")</formula>
    </cfRule>
  </conditionalFormatting>
  <conditionalFormatting sqref="G3:G4 G9 G11:G12">
    <cfRule type="expression" dxfId="498" priority="19">
      <formula>G3="Data Not Entered On Set-Up Worksheet"</formula>
    </cfRule>
  </conditionalFormatting>
  <conditionalFormatting sqref="J3:J4 J9 J11:J12">
    <cfRule type="expression" dxfId="497" priority="16">
      <formula>J3="Data Not Entered On Set-Up Worksheet"</formula>
    </cfRule>
  </conditionalFormatting>
  <conditionalFormatting sqref="F9:F10">
    <cfRule type="expression" dxfId="496" priority="13">
      <formula>F9="Data Not Entered On Set-Up Worksheet"</formula>
    </cfRule>
  </conditionalFormatting>
  <conditionalFormatting sqref="B16:C38 B42:C42">
    <cfRule type="expression" dxfId="495" priority="7">
      <formula>$A16="Other"</formula>
    </cfRule>
  </conditionalFormatting>
  <conditionalFormatting sqref="H39:I39 E39:F39 B39:C39">
    <cfRule type="expression" dxfId="494" priority="6">
      <formula>AND($A39&lt;&gt;"",B39="")</formula>
    </cfRule>
  </conditionalFormatting>
  <conditionalFormatting sqref="B39:C39">
    <cfRule type="expression" dxfId="493" priority="5">
      <formula>$A39="Other"</formula>
    </cfRule>
  </conditionalFormatting>
  <conditionalFormatting sqref="H40:I40 E40:F40 B40:C40">
    <cfRule type="expression" dxfId="492" priority="4">
      <formula>AND($A40&lt;&gt;"",B40="")</formula>
    </cfRule>
  </conditionalFormatting>
  <conditionalFormatting sqref="B40:C40">
    <cfRule type="expression" dxfId="491" priority="3">
      <formula>$A40="Other"</formula>
    </cfRule>
  </conditionalFormatting>
  <conditionalFormatting sqref="H41:I41 E41:F41 B41:C41">
    <cfRule type="expression" dxfId="490" priority="2">
      <formula>AND($A41&lt;&gt;"",B41="")</formula>
    </cfRule>
  </conditionalFormatting>
  <conditionalFormatting sqref="B41:C41">
    <cfRule type="expression" dxfId="489" priority="1">
      <formula>$A41="Other"</formula>
    </cfRule>
  </conditionalFormatting>
  <pageMargins left="0.5" right="0.5" top="0.5" bottom="0.5" header="0.3" footer="0.3"/>
  <pageSetup scale="61" orientation="landscape" r:id="rId1"/>
  <headerFooter>
    <oddFooter>&amp;LNC DHHS LME-MCO Performance Measures Report Part II DMH/DD/SAS Measures&amp;C&amp;P&amp;R&amp;F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5" t="s">
        <v>23</v>
      </c>
      <c r="E1" s="30"/>
      <c r="H1" s="30"/>
    </row>
    <row r="2" spans="1:22" ht="15" customHeight="1">
      <c r="A2" s="35" t="s">
        <v>187</v>
      </c>
      <c r="E2" s="214"/>
      <c r="H2" s="214"/>
    </row>
    <row r="3" spans="1:22" ht="15" customHeight="1">
      <c r="A3" s="30" t="s">
        <v>185</v>
      </c>
      <c r="C3" s="138">
        <f>IF('Set-Up Worksheet'!F3="","Data Not Entered On Set-Up Worksheet",'Set-Up Worksheet'!F3)</f>
        <v>2021</v>
      </c>
      <c r="D3" s="138"/>
      <c r="G3" s="138"/>
      <c r="J3" s="138"/>
    </row>
    <row r="4" spans="1:22" ht="15" customHeight="1">
      <c r="A4" s="30" t="s">
        <v>186</v>
      </c>
      <c r="C4" s="138" t="str">
        <f>IF('Set-Up Worksheet'!F4="","Data Not Entered On Set-Up Worksheet",'Set-Up Worksheet'!F4)</f>
        <v>1st Quarter</v>
      </c>
      <c r="D4" s="138"/>
      <c r="G4" s="138"/>
      <c r="J4" s="138"/>
    </row>
    <row r="5" spans="1:22" ht="15" customHeight="1">
      <c r="A5" s="30"/>
      <c r="C5" s="32"/>
      <c r="D5" s="32"/>
      <c r="G5" s="32"/>
      <c r="J5" s="32"/>
    </row>
    <row r="6" spans="1:22" ht="15" customHeight="1">
      <c r="A6" s="30" t="s">
        <v>262</v>
      </c>
      <c r="C6" s="32"/>
      <c r="D6" s="32"/>
      <c r="E6" s="30"/>
      <c r="G6" s="32"/>
      <c r="H6" s="30"/>
      <c r="J6" s="32"/>
    </row>
    <row r="7" spans="1:22" ht="15" customHeight="1">
      <c r="A7" s="31" t="s">
        <v>309</v>
      </c>
      <c r="C7" s="32"/>
      <c r="D7" s="32"/>
      <c r="E7" s="30"/>
      <c r="G7" s="32"/>
      <c r="H7" s="30"/>
      <c r="J7" s="32"/>
    </row>
    <row r="8" spans="1:22" ht="15" customHeight="1">
      <c r="A8" s="30"/>
      <c r="C8" s="32"/>
      <c r="D8" s="32"/>
      <c r="G8" s="32"/>
      <c r="J8" s="32"/>
      <c r="N8" s="51"/>
      <c r="O8" s="51"/>
      <c r="P8" s="52"/>
      <c r="Q8" s="51"/>
      <c r="R8" s="51"/>
      <c r="S8" s="51"/>
      <c r="T8" s="51"/>
      <c r="U8" s="30"/>
      <c r="V8" s="34"/>
    </row>
    <row r="9" spans="1:22" ht="15" customHeight="1">
      <c r="A9" s="30" t="s">
        <v>24</v>
      </c>
      <c r="C9" s="38" t="str">
        <f>IF('Set-Up Worksheet'!E7="","Data Not Entered On Set-Up Worksheet",'Set-Up Worksheet'!E7)</f>
        <v>Data Not Entered On Set-Up Worksheet</v>
      </c>
      <c r="D9" s="38"/>
      <c r="F9" s="76" t="s">
        <v>362</v>
      </c>
      <c r="G9" s="38"/>
      <c r="J9" s="38"/>
    </row>
    <row r="10" spans="1:22" ht="15" customHeight="1">
      <c r="A10" s="30" t="s">
        <v>9</v>
      </c>
      <c r="C10" s="32" t="s">
        <v>10</v>
      </c>
      <c r="D10" s="32"/>
      <c r="F10" s="76"/>
      <c r="G10" s="32"/>
      <c r="J10" s="32"/>
    </row>
    <row r="11" spans="1:22" ht="15" customHeight="1">
      <c r="A11" s="30" t="s">
        <v>188</v>
      </c>
      <c r="C11" s="39" t="str">
        <f>IF(C4="Data Not Entered On Set-Up Worksheet","Data Not Entered On Set-Up Worksheet",IF(C4="1st Quarter",'Report Schedule'!D37,IF(C4="2nd Quarter",'Report Schedule'!E37,IF(C4="3rd Quarter",'Report Schedule'!F37,IF(C4="4th Quarter",'Report Schedule'!G37,"")))))</f>
        <v>Apr - Jun 2020</v>
      </c>
      <c r="D11" s="39"/>
      <c r="G11" s="39"/>
      <c r="J11" s="39"/>
    </row>
    <row r="12" spans="1:22" ht="15" customHeight="1" thickBot="1">
      <c r="A12" s="30"/>
      <c r="C12" s="39"/>
      <c r="D12" s="39"/>
      <c r="G12" s="39"/>
      <c r="J12" s="39"/>
    </row>
    <row r="13" spans="1:22" ht="18" customHeight="1" thickBot="1">
      <c r="A13" s="146" t="s">
        <v>252</v>
      </c>
      <c r="B13" s="273" t="s">
        <v>34</v>
      </c>
      <c r="C13" s="151"/>
      <c r="D13" s="152"/>
      <c r="E13" s="272" t="s">
        <v>189</v>
      </c>
      <c r="F13" s="147"/>
      <c r="G13" s="148"/>
      <c r="H13" s="273" t="s">
        <v>191</v>
      </c>
      <c r="I13" s="151"/>
      <c r="J13" s="152"/>
    </row>
    <row r="14" spans="1:22" s="34" customFormat="1" ht="13.5" thickBot="1">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c r="A15" s="72" t="s">
        <v>38</v>
      </c>
      <c r="B15" s="158" t="s">
        <v>26</v>
      </c>
      <c r="C15" s="156" t="s">
        <v>25</v>
      </c>
      <c r="D15" s="157" t="s">
        <v>27</v>
      </c>
      <c r="E15" s="222" t="s">
        <v>26</v>
      </c>
      <c r="F15" s="64" t="s">
        <v>25</v>
      </c>
      <c r="G15" s="65" t="s">
        <v>27</v>
      </c>
      <c r="H15" s="224" t="s">
        <v>26</v>
      </c>
      <c r="I15" s="156" t="s">
        <v>25</v>
      </c>
      <c r="J15" s="157" t="s">
        <v>27</v>
      </c>
    </row>
    <row r="16" spans="1:22" ht="18" customHeight="1">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488" priority="19">
      <formula>C3="Data Not Entered On Set-Up Worksheet"</formula>
    </cfRule>
  </conditionalFormatting>
  <conditionalFormatting sqref="B16:C38 E16:F38 H16:I38 H42:I42 E42:F42 B42:C42">
    <cfRule type="expression" dxfId="487" priority="18">
      <formula>AND($A16&lt;&gt;"",B16="")</formula>
    </cfRule>
  </conditionalFormatting>
  <conditionalFormatting sqref="G3:G4 G9 G11:G12">
    <cfRule type="expression" dxfId="486" priority="17">
      <formula>G3="Data Not Entered On Set-Up Worksheet"</formula>
    </cfRule>
  </conditionalFormatting>
  <conditionalFormatting sqref="J3:J4 J9 J11:J12">
    <cfRule type="expression" dxfId="485" priority="15">
      <formula>J3="Data Not Entered On Set-Up Worksheet"</formula>
    </cfRule>
  </conditionalFormatting>
  <conditionalFormatting sqref="F9:F10">
    <cfRule type="expression" dxfId="484" priority="13">
      <formula>F9="Data Not Entered On Set-Up Worksheet"</formula>
    </cfRule>
  </conditionalFormatting>
  <conditionalFormatting sqref="B16:C38 B42:C42">
    <cfRule type="expression" dxfId="483" priority="7">
      <formula>$A16="Other"</formula>
    </cfRule>
  </conditionalFormatting>
  <conditionalFormatting sqref="H39:I39 E39:F39 B39:C39">
    <cfRule type="expression" dxfId="482" priority="6">
      <formula>AND($A39&lt;&gt;"",B39="")</formula>
    </cfRule>
  </conditionalFormatting>
  <conditionalFormatting sqref="B39:C39">
    <cfRule type="expression" dxfId="481" priority="5">
      <formula>$A39="Other"</formula>
    </cfRule>
  </conditionalFormatting>
  <conditionalFormatting sqref="H40:I40 E40:F40 B40:C40">
    <cfRule type="expression" dxfId="480" priority="4">
      <formula>AND($A40&lt;&gt;"",B40="")</formula>
    </cfRule>
  </conditionalFormatting>
  <conditionalFormatting sqref="B40:C40">
    <cfRule type="expression" dxfId="479" priority="3">
      <formula>$A40="Other"</formula>
    </cfRule>
  </conditionalFormatting>
  <conditionalFormatting sqref="H41:I41 E41:F41 B41:C41">
    <cfRule type="expression" dxfId="478" priority="2">
      <formula>AND($A41&lt;&gt;"",B41="")</formula>
    </cfRule>
  </conditionalFormatting>
  <conditionalFormatting sqref="B41:C41">
    <cfRule type="expression" dxfId="477"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5" t="s">
        <v>23</v>
      </c>
      <c r="E1" s="30"/>
      <c r="H1" s="30"/>
    </row>
    <row r="2" spans="1:22" ht="15" customHeight="1">
      <c r="A2" s="35" t="s">
        <v>187</v>
      </c>
      <c r="E2" s="214"/>
      <c r="H2" s="214"/>
    </row>
    <row r="3" spans="1:22" ht="15" customHeight="1">
      <c r="A3" s="30" t="s">
        <v>185</v>
      </c>
      <c r="C3" s="138">
        <f>IF('Set-Up Worksheet'!F3="","Data Not Entered On Set-Up Worksheet",'Set-Up Worksheet'!F3)</f>
        <v>2021</v>
      </c>
      <c r="D3" s="138"/>
      <c r="G3" s="138"/>
      <c r="J3" s="138"/>
    </row>
    <row r="4" spans="1:22" ht="15" customHeight="1">
      <c r="A4" s="30" t="s">
        <v>186</v>
      </c>
      <c r="C4" s="138" t="str">
        <f>IF('Set-Up Worksheet'!F4="","Data Not Entered On Set-Up Worksheet",'Set-Up Worksheet'!F4)</f>
        <v>1st Quarter</v>
      </c>
      <c r="D4" s="138"/>
      <c r="G4" s="138"/>
      <c r="J4" s="138"/>
    </row>
    <row r="5" spans="1:22" ht="15" customHeight="1">
      <c r="A5" s="30"/>
      <c r="C5" s="32"/>
      <c r="D5" s="32"/>
      <c r="G5" s="32"/>
      <c r="J5" s="32"/>
    </row>
    <row r="6" spans="1:22" ht="15" customHeight="1">
      <c r="A6" s="30" t="s">
        <v>262</v>
      </c>
      <c r="C6" s="32"/>
      <c r="D6" s="32"/>
      <c r="E6" s="30"/>
      <c r="G6" s="32"/>
      <c r="H6" s="30"/>
      <c r="J6" s="32"/>
    </row>
    <row r="7" spans="1:22" ht="15" customHeight="1">
      <c r="A7" s="31" t="s">
        <v>310</v>
      </c>
      <c r="C7" s="32"/>
      <c r="D7" s="32"/>
      <c r="E7" s="30"/>
      <c r="G7" s="32"/>
      <c r="H7" s="30"/>
      <c r="J7" s="32"/>
    </row>
    <row r="8" spans="1:22" ht="15" customHeight="1">
      <c r="A8" s="30"/>
      <c r="C8" s="32"/>
      <c r="D8" s="32"/>
      <c r="G8" s="32"/>
      <c r="J8" s="32"/>
      <c r="N8" s="51"/>
      <c r="O8" s="51"/>
      <c r="P8" s="52"/>
      <c r="Q8" s="51"/>
      <c r="R8" s="51"/>
      <c r="S8" s="51"/>
      <c r="T8" s="51"/>
      <c r="U8" s="30"/>
      <c r="V8" s="34"/>
    </row>
    <row r="9" spans="1:22" ht="15" customHeight="1">
      <c r="A9" s="30" t="s">
        <v>24</v>
      </c>
      <c r="C9" s="38" t="str">
        <f>IF('Set-Up Worksheet'!E7="","Data Not Entered On Set-Up Worksheet",'Set-Up Worksheet'!E7)</f>
        <v>Data Not Entered On Set-Up Worksheet</v>
      </c>
      <c r="D9" s="38"/>
      <c r="F9" s="76" t="s">
        <v>362</v>
      </c>
      <c r="G9" s="38"/>
      <c r="J9" s="38"/>
    </row>
    <row r="10" spans="1:22" ht="15" customHeight="1">
      <c r="A10" s="30" t="s">
        <v>9</v>
      </c>
      <c r="C10" s="32" t="s">
        <v>10</v>
      </c>
      <c r="D10" s="32"/>
      <c r="F10" s="76"/>
      <c r="G10" s="32"/>
      <c r="J10" s="32"/>
    </row>
    <row r="11" spans="1:22" ht="15" customHeight="1">
      <c r="A11" s="30" t="s">
        <v>188</v>
      </c>
      <c r="C11" s="39" t="str">
        <f>IF(C4="Data Not Entered On Set-Up Worksheet","Data Not Entered On Set-Up Worksheet",IF(C4="1st Quarter",'Report Schedule'!D37,IF(C4="2nd Quarter",'Report Schedule'!E37,IF(C4="3rd Quarter",'Report Schedule'!F37,IF(C4="4th Quarter",'Report Schedule'!G37,"")))))</f>
        <v>Apr - Jun 2020</v>
      </c>
      <c r="D11" s="39"/>
      <c r="G11" s="39"/>
      <c r="J11" s="39"/>
    </row>
    <row r="12" spans="1:22" ht="15" customHeight="1" thickBot="1">
      <c r="A12" s="30"/>
      <c r="C12" s="39"/>
      <c r="D12" s="39"/>
      <c r="G12" s="39"/>
      <c r="J12" s="39"/>
    </row>
    <row r="13" spans="1:22" ht="18" customHeight="1" thickBot="1">
      <c r="A13" s="146" t="s">
        <v>252</v>
      </c>
      <c r="B13" s="273" t="s">
        <v>34</v>
      </c>
      <c r="C13" s="151"/>
      <c r="D13" s="152"/>
      <c r="E13" s="272" t="s">
        <v>189</v>
      </c>
      <c r="F13" s="147"/>
      <c r="G13" s="148"/>
      <c r="H13" s="273" t="s">
        <v>191</v>
      </c>
      <c r="I13" s="151"/>
      <c r="J13" s="152"/>
    </row>
    <row r="14" spans="1:22" s="34" customFormat="1" ht="13.5" thickBot="1">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c r="A15" s="72" t="s">
        <v>38</v>
      </c>
      <c r="B15" s="158" t="s">
        <v>26</v>
      </c>
      <c r="C15" s="156" t="s">
        <v>25</v>
      </c>
      <c r="D15" s="157" t="s">
        <v>27</v>
      </c>
      <c r="E15" s="222" t="s">
        <v>26</v>
      </c>
      <c r="F15" s="64" t="s">
        <v>25</v>
      </c>
      <c r="G15" s="65" t="s">
        <v>27</v>
      </c>
      <c r="H15" s="224" t="s">
        <v>26</v>
      </c>
      <c r="I15" s="156" t="s">
        <v>25</v>
      </c>
      <c r="J15" s="157" t="s">
        <v>27</v>
      </c>
    </row>
    <row r="16" spans="1:22" ht="18" customHeight="1">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476" priority="19">
      <formula>C3="Data Not Entered On Set-Up Worksheet"</formula>
    </cfRule>
  </conditionalFormatting>
  <conditionalFormatting sqref="B16:C38 E16:F38 H16:I38 H42:I42 E42:F42 B42:C42">
    <cfRule type="expression" dxfId="475" priority="18">
      <formula>AND($A16&lt;&gt;"",B16="")</formula>
    </cfRule>
  </conditionalFormatting>
  <conditionalFormatting sqref="G3:G4 G9 G11:G12">
    <cfRule type="expression" dxfId="474" priority="17">
      <formula>G3="Data Not Entered On Set-Up Worksheet"</formula>
    </cfRule>
  </conditionalFormatting>
  <conditionalFormatting sqref="J3:J4 J9 J11:J12">
    <cfRule type="expression" dxfId="473" priority="15">
      <formula>J3="Data Not Entered On Set-Up Worksheet"</formula>
    </cfRule>
  </conditionalFormatting>
  <conditionalFormatting sqref="F9:F10">
    <cfRule type="expression" dxfId="472" priority="13">
      <formula>F9="Data Not Entered On Set-Up Worksheet"</formula>
    </cfRule>
  </conditionalFormatting>
  <conditionalFormatting sqref="B16:C38 B42:C42">
    <cfRule type="expression" dxfId="471" priority="7">
      <formula>$A16="Other"</formula>
    </cfRule>
  </conditionalFormatting>
  <conditionalFormatting sqref="H39:I39 E39:F39 B39:C39">
    <cfRule type="expression" dxfId="470" priority="6">
      <formula>AND($A39&lt;&gt;"",B39="")</formula>
    </cfRule>
  </conditionalFormatting>
  <conditionalFormatting sqref="B39:C39">
    <cfRule type="expression" dxfId="469" priority="5">
      <formula>$A39="Other"</formula>
    </cfRule>
  </conditionalFormatting>
  <conditionalFormatting sqref="H40:I40 E40:F40 B40:C40">
    <cfRule type="expression" dxfId="468" priority="4">
      <formula>AND($A40&lt;&gt;"",B40="")</formula>
    </cfRule>
  </conditionalFormatting>
  <conditionalFormatting sqref="B40:C40">
    <cfRule type="expression" dxfId="467" priority="3">
      <formula>$A40="Other"</formula>
    </cfRule>
  </conditionalFormatting>
  <conditionalFormatting sqref="H41:I41 E41:F41 B41:C41">
    <cfRule type="expression" dxfId="466" priority="2">
      <formula>AND($A41&lt;&gt;"",B41="")</formula>
    </cfRule>
  </conditionalFormatting>
  <conditionalFormatting sqref="B41:C41">
    <cfRule type="expression" dxfId="465"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K16"/>
  <sheetViews>
    <sheetView showGridLines="0" workbookViewId="0">
      <selection activeCell="C16" sqref="C16"/>
    </sheetView>
  </sheetViews>
  <sheetFormatPr defaultRowHeight="12.75"/>
  <cols>
    <col min="1" max="1" width="22.42578125" style="22" customWidth="1"/>
    <col min="2" max="16384" width="9.140625" style="22"/>
  </cols>
  <sheetData>
    <row r="1" spans="1:11" ht="15" customHeight="1">
      <c r="A1" s="35" t="s">
        <v>23</v>
      </c>
    </row>
    <row r="2" spans="1:11" ht="15" customHeight="1">
      <c r="A2" s="35" t="s">
        <v>187</v>
      </c>
    </row>
    <row r="3" spans="1:11" ht="15" customHeight="1">
      <c r="A3" s="30" t="s">
        <v>185</v>
      </c>
      <c r="C3" s="138">
        <f>IF('Set-Up Worksheet'!F3="","Data Not Entered On Set-Up Worksheet",'Set-Up Worksheet'!F3)</f>
        <v>2021</v>
      </c>
    </row>
    <row r="4" spans="1:11" ht="15" customHeight="1">
      <c r="A4" s="30" t="s">
        <v>186</v>
      </c>
      <c r="C4" s="138" t="str">
        <f>IF('Set-Up Worksheet'!F4="","Data Not Entered On Set-Up Worksheet",'Set-Up Worksheet'!F4)</f>
        <v>1st Quarter</v>
      </c>
    </row>
    <row r="5" spans="1:11" ht="15" customHeight="1">
      <c r="C5" s="32"/>
    </row>
    <row r="6" spans="1:11" ht="15" customHeight="1">
      <c r="A6" s="30" t="s">
        <v>184</v>
      </c>
      <c r="C6" s="32"/>
    </row>
    <row r="7" spans="1:11" ht="15" customHeight="1">
      <c r="A7" s="30" t="s">
        <v>444</v>
      </c>
      <c r="C7" s="32"/>
    </row>
    <row r="8" spans="1:11" ht="15" customHeight="1">
      <c r="A8" s="30"/>
      <c r="C8" s="32"/>
    </row>
    <row r="9" spans="1:11" ht="15" customHeight="1">
      <c r="A9" s="30" t="s">
        <v>24</v>
      </c>
      <c r="C9" s="38" t="str">
        <f>IF('Set-Up Worksheet'!E7="","Data Not Entered On Set-Up Worksheet",'Set-Up Worksheet'!E7)</f>
        <v>Data Not Entered On Set-Up Worksheet</v>
      </c>
    </row>
    <row r="10" spans="1:11" ht="15" customHeight="1">
      <c r="A10" s="30" t="s">
        <v>9</v>
      </c>
      <c r="C10" s="32" t="s">
        <v>10</v>
      </c>
    </row>
    <row r="11" spans="1:11" ht="15" customHeight="1">
      <c r="A11" s="30" t="s">
        <v>188</v>
      </c>
      <c r="C11" s="39" t="str">
        <f>IF(C4="Data Not Entered On Set-Up Worksheet","Data Not Entered On Set-Up Worksheet",IF(C4="1st Quarter",'Report Schedule'!D10,IF(C4="2nd Quarter",'Report Schedule'!E10,IF(C4="3rd Quarter",'Report Schedule'!F10,IF(C4="4th Quarter",'Report Schedule'!G10,"")))))</f>
        <v>Jul - Sep 2020</v>
      </c>
    </row>
    <row r="14" spans="1:11" ht="60.75" customHeight="1">
      <c r="A14" s="443" t="s">
        <v>445</v>
      </c>
      <c r="B14" s="443"/>
      <c r="C14" s="443"/>
      <c r="D14" s="443"/>
      <c r="E14" s="443"/>
      <c r="F14" s="443"/>
      <c r="G14" s="443"/>
      <c r="H14" s="443"/>
      <c r="I14" s="443"/>
      <c r="J14" s="443"/>
      <c r="K14" s="46"/>
    </row>
    <row r="15" spans="1:11">
      <c r="A15" s="46"/>
      <c r="B15" s="46"/>
      <c r="C15" s="46"/>
      <c r="D15" s="46"/>
      <c r="E15" s="46"/>
      <c r="F15" s="46"/>
      <c r="G15" s="46"/>
      <c r="H15" s="46"/>
      <c r="I15" s="46"/>
      <c r="J15" s="46"/>
      <c r="K15" s="46"/>
    </row>
    <row r="16" spans="1:11">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109" priority="4">
      <formula>C3="Data Not Entered On Set-Up Worksheet"</formula>
    </cfRule>
  </conditionalFormatting>
  <conditionalFormatting sqref="C9">
    <cfRule type="expression" dxfId="1108" priority="3">
      <formula>C9="Data Not Entered On Set-Up Worksheet"</formula>
    </cfRule>
  </conditionalFormatting>
  <conditionalFormatting sqref="C11">
    <cfRule type="expression" dxfId="1107"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pageSetUpPr fitToPage="1"/>
  </sheetPr>
  <dimension ref="A1:V43"/>
  <sheetViews>
    <sheetView showGridLines="0" workbookViewId="0">
      <pane ySplit="15" topLeftCell="A16" activePane="bottomLeft" state="frozen"/>
      <selection activeCell="E7" sqref="E7:I7"/>
      <selection pane="bottomLeft" activeCell="D17" sqref="D17"/>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5" t="s">
        <v>23</v>
      </c>
      <c r="E1" s="30"/>
      <c r="H1" s="30"/>
    </row>
    <row r="2" spans="1:22" ht="15" customHeight="1">
      <c r="A2" s="35" t="s">
        <v>187</v>
      </c>
      <c r="E2" s="214"/>
      <c r="H2" s="214"/>
    </row>
    <row r="3" spans="1:22" ht="15" customHeight="1">
      <c r="A3" s="30" t="s">
        <v>185</v>
      </c>
      <c r="C3" s="138">
        <f>IF('Set-Up Worksheet'!F3="","Data Not Entered On Set-Up Worksheet",'Set-Up Worksheet'!F3)</f>
        <v>2021</v>
      </c>
      <c r="D3" s="138"/>
      <c r="G3" s="138"/>
      <c r="J3" s="138"/>
    </row>
    <row r="4" spans="1:22" ht="15" customHeight="1">
      <c r="A4" s="30" t="s">
        <v>186</v>
      </c>
      <c r="C4" s="138" t="str">
        <f>IF('Set-Up Worksheet'!F4="","Data Not Entered On Set-Up Worksheet",'Set-Up Worksheet'!F4)</f>
        <v>1st Quarter</v>
      </c>
      <c r="D4" s="138"/>
      <c r="G4" s="138"/>
      <c r="J4" s="138"/>
    </row>
    <row r="5" spans="1:22" ht="15" customHeight="1">
      <c r="A5" s="30"/>
      <c r="C5" s="32"/>
      <c r="D5" s="32"/>
      <c r="G5" s="32"/>
      <c r="J5" s="32"/>
    </row>
    <row r="6" spans="1:22" ht="15" customHeight="1">
      <c r="A6" s="30" t="s">
        <v>262</v>
      </c>
      <c r="C6" s="32"/>
      <c r="D6" s="32"/>
      <c r="E6" s="30"/>
      <c r="G6" s="32"/>
      <c r="H6" s="30"/>
      <c r="J6" s="32"/>
    </row>
    <row r="7" spans="1:22" ht="15" customHeight="1">
      <c r="A7" s="31" t="s">
        <v>311</v>
      </c>
      <c r="C7" s="32"/>
      <c r="D7" s="32"/>
      <c r="E7" s="30"/>
      <c r="G7" s="32"/>
      <c r="H7" s="30"/>
      <c r="J7" s="32"/>
    </row>
    <row r="8" spans="1:22" ht="15" customHeight="1">
      <c r="A8" s="30"/>
      <c r="C8" s="32"/>
      <c r="D8" s="32"/>
      <c r="G8" s="32"/>
      <c r="J8" s="32"/>
      <c r="N8" s="51"/>
      <c r="O8" s="51"/>
      <c r="P8" s="52"/>
      <c r="Q8" s="51"/>
      <c r="R8" s="51"/>
      <c r="S8" s="51"/>
      <c r="T8" s="51"/>
      <c r="U8" s="30"/>
      <c r="V8" s="34"/>
    </row>
    <row r="9" spans="1:22" ht="15" customHeight="1">
      <c r="A9" s="30" t="s">
        <v>24</v>
      </c>
      <c r="C9" s="38" t="str">
        <f>IF('Set-Up Worksheet'!E7="","Data Not Entered On Set-Up Worksheet",'Set-Up Worksheet'!E7)</f>
        <v>Data Not Entered On Set-Up Worksheet</v>
      </c>
      <c r="D9" s="38"/>
      <c r="F9" s="76" t="s">
        <v>362</v>
      </c>
      <c r="G9" s="38"/>
      <c r="J9" s="38"/>
    </row>
    <row r="10" spans="1:22" ht="15" customHeight="1">
      <c r="A10" s="30" t="s">
        <v>9</v>
      </c>
      <c r="C10" s="32" t="s">
        <v>10</v>
      </c>
      <c r="D10" s="32"/>
      <c r="F10" s="76"/>
      <c r="G10" s="32"/>
      <c r="J10" s="32"/>
    </row>
    <row r="11" spans="1:22" ht="15" customHeight="1">
      <c r="A11" s="30" t="s">
        <v>188</v>
      </c>
      <c r="C11" s="39" t="str">
        <f>IF(C4="Data Not Entered On Set-Up Worksheet","Data Not Entered On Set-Up Worksheet",IF(C4="1st Quarter",'Report Schedule'!D37,IF(C4="2nd Quarter",'Report Schedule'!E37,IF(C4="3rd Quarter",'Report Schedule'!F37,IF(C4="4th Quarter",'Report Schedule'!G37,"")))))</f>
        <v>Apr - Jun 2020</v>
      </c>
      <c r="D11" s="39"/>
      <c r="G11" s="39"/>
      <c r="J11" s="39"/>
    </row>
    <row r="12" spans="1:22" ht="15" customHeight="1" thickBot="1">
      <c r="A12" s="30"/>
      <c r="C12" s="39"/>
      <c r="D12" s="39"/>
      <c r="G12" s="39"/>
      <c r="J12" s="39"/>
    </row>
    <row r="13" spans="1:22" ht="18" customHeight="1" thickBot="1">
      <c r="A13" s="146" t="s">
        <v>252</v>
      </c>
      <c r="B13" s="273" t="s">
        <v>34</v>
      </c>
      <c r="C13" s="151"/>
      <c r="D13" s="152"/>
      <c r="E13" s="272" t="s">
        <v>189</v>
      </c>
      <c r="F13" s="147"/>
      <c r="G13" s="148"/>
      <c r="H13" s="273" t="s">
        <v>191</v>
      </c>
      <c r="I13" s="151"/>
      <c r="J13" s="152"/>
    </row>
    <row r="14" spans="1:22" s="34" customFormat="1" ht="13.5" thickBot="1">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c r="A15" s="72" t="s">
        <v>38</v>
      </c>
      <c r="B15" s="158" t="s">
        <v>26</v>
      </c>
      <c r="C15" s="156" t="s">
        <v>25</v>
      </c>
      <c r="D15" s="157" t="s">
        <v>27</v>
      </c>
      <c r="E15" s="222" t="s">
        <v>26</v>
      </c>
      <c r="F15" s="64" t="s">
        <v>25</v>
      </c>
      <c r="G15" s="65" t="s">
        <v>27</v>
      </c>
      <c r="H15" s="224" t="s">
        <v>26</v>
      </c>
      <c r="I15" s="156" t="s">
        <v>25</v>
      </c>
      <c r="J15" s="157" t="s">
        <v>27</v>
      </c>
    </row>
    <row r="16" spans="1:22" ht="18" customHeight="1">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464" priority="19">
      <formula>C3="Data Not Entered On Set-Up Worksheet"</formula>
    </cfRule>
  </conditionalFormatting>
  <conditionalFormatting sqref="B16:C38 E16:F38 H16:I38 H42:I42 E42:F42 B42:C42">
    <cfRule type="expression" dxfId="463" priority="18">
      <formula>AND($A16&lt;&gt;"",B16="")</formula>
    </cfRule>
  </conditionalFormatting>
  <conditionalFormatting sqref="G3:G4 G9 G11:G12">
    <cfRule type="expression" dxfId="462" priority="17">
      <formula>G3="Data Not Entered On Set-Up Worksheet"</formula>
    </cfRule>
  </conditionalFormatting>
  <conditionalFormatting sqref="J3:J4 J9 J11:J12">
    <cfRule type="expression" dxfId="461" priority="15">
      <formula>J3="Data Not Entered On Set-Up Worksheet"</formula>
    </cfRule>
  </conditionalFormatting>
  <conditionalFormatting sqref="F9:F10">
    <cfRule type="expression" dxfId="460" priority="13">
      <formula>F9="Data Not Entered On Set-Up Worksheet"</formula>
    </cfRule>
  </conditionalFormatting>
  <conditionalFormatting sqref="B16:C38 B42:C42">
    <cfRule type="expression" dxfId="459" priority="7">
      <formula>$A16="Other"</formula>
    </cfRule>
  </conditionalFormatting>
  <conditionalFormatting sqref="H39:I39 E39:F39 B39:C39">
    <cfRule type="expression" dxfId="458" priority="6">
      <formula>AND($A39&lt;&gt;"",B39="")</formula>
    </cfRule>
  </conditionalFormatting>
  <conditionalFormatting sqref="B39:C39">
    <cfRule type="expression" dxfId="457" priority="5">
      <formula>$A39="Other"</formula>
    </cfRule>
  </conditionalFormatting>
  <conditionalFormatting sqref="H40:I40 E40:F40 B40:C40">
    <cfRule type="expression" dxfId="456" priority="4">
      <formula>AND($A40&lt;&gt;"",B40="")</formula>
    </cfRule>
  </conditionalFormatting>
  <conditionalFormatting sqref="B40:C40">
    <cfRule type="expression" dxfId="455" priority="3">
      <formula>$A40="Other"</formula>
    </cfRule>
  </conditionalFormatting>
  <conditionalFormatting sqref="H41:I41 E41:F41 B41:C41">
    <cfRule type="expression" dxfId="454" priority="2">
      <formula>AND($A41&lt;&gt;"",B41="")</formula>
    </cfRule>
  </conditionalFormatting>
  <conditionalFormatting sqref="B41:C41">
    <cfRule type="expression" dxfId="453"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pageSetUpPr fitToPage="1"/>
  </sheetPr>
  <dimension ref="A1:H16"/>
  <sheetViews>
    <sheetView showGridLines="0" workbookViewId="0">
      <selection activeCell="E7" sqref="E7"/>
    </sheetView>
  </sheetViews>
  <sheetFormatPr defaultRowHeight="12.75"/>
  <cols>
    <col min="1" max="1" width="22.42578125" style="22" customWidth="1"/>
    <col min="2" max="2" width="9.140625" style="22"/>
    <col min="3" max="3" width="20" style="22" customWidth="1"/>
    <col min="4" max="4" width="15.7109375" style="22" customWidth="1"/>
    <col min="5" max="5" width="21" style="22" bestFit="1" customWidth="1"/>
    <col min="6" max="7" width="20.7109375" style="22" customWidth="1"/>
    <col min="8" max="16384" width="9.140625" style="22"/>
  </cols>
  <sheetData>
    <row r="1" spans="1:8" ht="15" customHeight="1">
      <c r="A1" s="35" t="s">
        <v>23</v>
      </c>
    </row>
    <row r="2" spans="1:8" ht="15" customHeight="1">
      <c r="A2" s="35" t="s">
        <v>187</v>
      </c>
    </row>
    <row r="3" spans="1:8" ht="15" customHeight="1">
      <c r="A3" s="30" t="s">
        <v>185</v>
      </c>
      <c r="C3" s="138">
        <f>IF('Set-Up Worksheet'!F3="","Data Not Entered On Set-Up Worksheet",'Set-Up Worksheet'!F3)</f>
        <v>2021</v>
      </c>
    </row>
    <row r="4" spans="1:8" ht="15" customHeight="1">
      <c r="A4" s="30" t="s">
        <v>186</v>
      </c>
      <c r="C4" s="138" t="str">
        <f>IF('Set-Up Worksheet'!F4="","Data Not Entered On Set-Up Worksheet",'Set-Up Worksheet'!F4)</f>
        <v>1st Quarter</v>
      </c>
    </row>
    <row r="5" spans="1:8" ht="15" customHeight="1">
      <c r="C5" s="32"/>
    </row>
    <row r="6" spans="1:8" ht="15" customHeight="1">
      <c r="A6" s="30" t="s">
        <v>262</v>
      </c>
      <c r="C6" s="32"/>
    </row>
    <row r="7" spans="1:8" ht="15" customHeight="1">
      <c r="A7" s="30" t="s">
        <v>312</v>
      </c>
      <c r="C7" s="32"/>
    </row>
    <row r="8" spans="1:8" ht="15" customHeight="1">
      <c r="A8" s="30"/>
      <c r="C8" s="32"/>
    </row>
    <row r="9" spans="1:8" ht="15" customHeight="1">
      <c r="A9" s="30" t="s">
        <v>24</v>
      </c>
      <c r="C9" s="38" t="str">
        <f>IF('Set-Up Worksheet'!E7="","Data Not Entered On Set-Up Worksheet",'Set-Up Worksheet'!E7)</f>
        <v>Data Not Entered On Set-Up Worksheet</v>
      </c>
    </row>
    <row r="10" spans="1:8" ht="15" customHeight="1">
      <c r="A10" s="30" t="s">
        <v>9</v>
      </c>
      <c r="C10" s="32" t="s">
        <v>10</v>
      </c>
    </row>
    <row r="11" spans="1:8" ht="15" customHeight="1">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2020</v>
      </c>
      <c r="E11" s="51" t="s">
        <v>307</v>
      </c>
      <c r="F11" s="22" t="str">
        <f>IF(C4="Data Not Entered On Set-Up Worksheet","Data Not Entered On Set-Up Worksheet",IF(C4="1st Quarter",'Report Schedule'!D34,IF(C4="2nd Quarter",'Report Schedule'!E34,IF(C4="3rd Quarter",'Report Schedule'!F34,IF(C4="4th Quarter",'Report Schedule'!G34,"")))))</f>
        <v>Jan - Mar 2020</v>
      </c>
    </row>
    <row r="14" spans="1:8" ht="112.5" customHeight="1">
      <c r="A14" s="443" t="s">
        <v>313</v>
      </c>
      <c r="B14" s="443"/>
      <c r="C14" s="443"/>
      <c r="D14" s="443"/>
      <c r="E14" s="443"/>
      <c r="F14" s="443"/>
      <c r="G14" s="443"/>
      <c r="H14" s="46"/>
    </row>
    <row r="15" spans="1:8">
      <c r="A15" s="46"/>
      <c r="B15" s="46"/>
      <c r="C15" s="46"/>
      <c r="D15" s="46"/>
      <c r="E15" s="46"/>
      <c r="F15" s="46"/>
      <c r="G15" s="46"/>
      <c r="H15" s="46"/>
    </row>
    <row r="16" spans="1:8">
      <c r="A16" s="46"/>
      <c r="B16" s="46"/>
      <c r="C16" s="46"/>
      <c r="D16" s="46"/>
      <c r="E16" s="46"/>
      <c r="F16" s="46"/>
      <c r="G16" s="46"/>
      <c r="H16" s="46"/>
    </row>
  </sheetData>
  <sheetProtection sheet="1" objects="1" scenarios="1"/>
  <mergeCells count="1">
    <mergeCell ref="A14:G14"/>
  </mergeCells>
  <conditionalFormatting sqref="C3:C4">
    <cfRule type="expression" dxfId="452" priority="3">
      <formula>C3="Data Not Entered On Set-Up Worksheet"</formula>
    </cfRule>
  </conditionalFormatting>
  <conditionalFormatting sqref="C9">
    <cfRule type="expression" dxfId="451" priority="2">
      <formula>C9="Data Not Entered On Set-Up Worksheet"</formula>
    </cfRule>
  </conditionalFormatting>
  <conditionalFormatting sqref="D11">
    <cfRule type="expression" dxfId="450"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pageSetUpPr fitToPage="1"/>
  </sheetPr>
  <dimension ref="A1:V43"/>
  <sheetViews>
    <sheetView showGridLines="0" workbookViewId="0">
      <pane ySplit="15" topLeftCell="A16" activePane="bottomLeft" state="frozen"/>
      <selection activeCell="E7" sqref="E7:I7"/>
      <selection pane="bottomLeft" activeCell="A41" sqref="A41"/>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5" t="s">
        <v>23</v>
      </c>
      <c r="E1" s="30"/>
      <c r="H1" s="30"/>
    </row>
    <row r="2" spans="1:22" ht="15" customHeight="1">
      <c r="A2" s="35" t="s">
        <v>187</v>
      </c>
      <c r="E2" s="214"/>
      <c r="H2" s="214"/>
    </row>
    <row r="3" spans="1:22" ht="15" customHeight="1">
      <c r="A3" s="30" t="s">
        <v>185</v>
      </c>
      <c r="C3" s="138">
        <f>IF('Set-Up Worksheet'!F3="","Data Not Entered On Set-Up Worksheet",'Set-Up Worksheet'!F3)</f>
        <v>2021</v>
      </c>
      <c r="D3" s="138"/>
      <c r="G3" s="138"/>
      <c r="J3" s="138"/>
    </row>
    <row r="4" spans="1:22" ht="15" customHeight="1">
      <c r="A4" s="30" t="s">
        <v>186</v>
      </c>
      <c r="C4" s="138" t="str">
        <f>IF('Set-Up Worksheet'!F4="","Data Not Entered On Set-Up Worksheet",'Set-Up Worksheet'!F4)</f>
        <v>1st Quarter</v>
      </c>
      <c r="D4" s="138"/>
      <c r="G4" s="138"/>
      <c r="J4" s="138"/>
    </row>
    <row r="5" spans="1:22" ht="15" customHeight="1">
      <c r="A5" s="30"/>
      <c r="C5" s="32"/>
      <c r="D5" s="32"/>
      <c r="G5" s="32"/>
      <c r="J5" s="32"/>
    </row>
    <row r="6" spans="1:22" ht="15" customHeight="1">
      <c r="A6" s="30" t="s">
        <v>262</v>
      </c>
      <c r="C6" s="32"/>
      <c r="D6" s="32"/>
      <c r="E6" s="30"/>
      <c r="G6" s="32"/>
      <c r="H6" s="30"/>
      <c r="J6" s="32"/>
    </row>
    <row r="7" spans="1:22" ht="15" customHeight="1">
      <c r="A7" s="31" t="s">
        <v>314</v>
      </c>
      <c r="C7" s="32"/>
      <c r="D7" s="32"/>
      <c r="E7" s="30"/>
      <c r="G7" s="32"/>
      <c r="H7" s="30"/>
      <c r="J7" s="32"/>
    </row>
    <row r="8" spans="1:22" ht="15" customHeight="1">
      <c r="A8" s="30"/>
      <c r="C8" s="32"/>
      <c r="D8" s="32"/>
      <c r="G8" s="32"/>
      <c r="J8" s="32"/>
      <c r="N8" s="51"/>
      <c r="O8" s="51"/>
      <c r="P8" s="52"/>
      <c r="Q8" s="51"/>
      <c r="R8" s="51"/>
      <c r="S8" s="51"/>
      <c r="T8" s="51"/>
      <c r="U8" s="30"/>
      <c r="V8" s="34"/>
    </row>
    <row r="9" spans="1:22" ht="15" customHeight="1">
      <c r="A9" s="30" t="s">
        <v>24</v>
      </c>
      <c r="C9" s="38" t="str">
        <f>IF('Set-Up Worksheet'!E7="","Data Not Entered On Set-Up Worksheet",'Set-Up Worksheet'!E7)</f>
        <v>Data Not Entered On Set-Up Worksheet</v>
      </c>
      <c r="D9" s="38"/>
      <c r="F9" s="76" t="s">
        <v>362</v>
      </c>
      <c r="G9" s="38"/>
      <c r="J9" s="38"/>
    </row>
    <row r="10" spans="1:22" ht="15" customHeight="1">
      <c r="A10" s="30" t="s">
        <v>9</v>
      </c>
      <c r="C10" s="32" t="s">
        <v>10</v>
      </c>
      <c r="D10" s="32"/>
      <c r="F10" s="76"/>
      <c r="G10" s="32"/>
      <c r="J10" s="32"/>
    </row>
    <row r="11" spans="1:22" ht="15" customHeight="1">
      <c r="A11" s="30" t="s">
        <v>188</v>
      </c>
      <c r="C11" s="39" t="str">
        <f>IF(C4="Data Not Entered On Set-Up Worksheet","Data Not Entered On Set-Up Worksheet",IF(C4="1st Quarter",'Report Schedule'!D37,IF(C4="2nd Quarter",'Report Schedule'!E37,IF(C4="3rd Quarter",'Report Schedule'!F37,IF(C4="4th Quarter",'Report Schedule'!G37,"")))))</f>
        <v>Apr - Jun 2020</v>
      </c>
      <c r="D11" s="39"/>
      <c r="G11" s="39"/>
      <c r="J11" s="39"/>
    </row>
    <row r="12" spans="1:22" ht="15" customHeight="1" thickBot="1">
      <c r="A12" s="30"/>
      <c r="C12" s="39"/>
      <c r="D12" s="39"/>
      <c r="G12" s="39"/>
      <c r="J12" s="39"/>
    </row>
    <row r="13" spans="1:22" ht="18" customHeight="1" thickBot="1">
      <c r="A13" s="146" t="s">
        <v>252</v>
      </c>
      <c r="B13" s="273" t="s">
        <v>34</v>
      </c>
      <c r="C13" s="151"/>
      <c r="D13" s="152"/>
      <c r="E13" s="272" t="s">
        <v>189</v>
      </c>
      <c r="F13" s="147"/>
      <c r="G13" s="148"/>
      <c r="H13" s="273" t="s">
        <v>191</v>
      </c>
      <c r="I13" s="151"/>
      <c r="J13" s="152"/>
    </row>
    <row r="14" spans="1:22" s="34" customFormat="1" ht="13.5" thickBot="1">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c r="A15" s="72" t="s">
        <v>38</v>
      </c>
      <c r="B15" s="158" t="s">
        <v>26</v>
      </c>
      <c r="C15" s="156" t="s">
        <v>25</v>
      </c>
      <c r="D15" s="157" t="s">
        <v>27</v>
      </c>
      <c r="E15" s="222" t="s">
        <v>26</v>
      </c>
      <c r="F15" s="64" t="s">
        <v>25</v>
      </c>
      <c r="G15" s="65" t="s">
        <v>27</v>
      </c>
      <c r="H15" s="224" t="s">
        <v>26</v>
      </c>
      <c r="I15" s="156" t="s">
        <v>25</v>
      </c>
      <c r="J15" s="157" t="s">
        <v>27</v>
      </c>
    </row>
    <row r="16" spans="1:22" ht="18" customHeight="1">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449" priority="19">
      <formula>C3="Data Not Entered On Set-Up Worksheet"</formula>
    </cfRule>
  </conditionalFormatting>
  <conditionalFormatting sqref="B16:C38 E16:F38 H16:I38 H42:I42 E42:F42 B42:C42">
    <cfRule type="expression" dxfId="448" priority="18">
      <formula>AND($A16&lt;&gt;"",B16="")</formula>
    </cfRule>
  </conditionalFormatting>
  <conditionalFormatting sqref="G3:G4 G9 G11:G12">
    <cfRule type="expression" dxfId="447" priority="17">
      <formula>G3="Data Not Entered On Set-Up Worksheet"</formula>
    </cfRule>
  </conditionalFormatting>
  <conditionalFormatting sqref="J3:J4 J9 J11:J12">
    <cfRule type="expression" dxfId="446" priority="15">
      <formula>J3="Data Not Entered On Set-Up Worksheet"</formula>
    </cfRule>
  </conditionalFormatting>
  <conditionalFormatting sqref="F9:F10">
    <cfRule type="expression" dxfId="445" priority="13">
      <formula>F9="Data Not Entered On Set-Up Worksheet"</formula>
    </cfRule>
  </conditionalFormatting>
  <conditionalFormatting sqref="B16:C38 B42:C42">
    <cfRule type="expression" dxfId="444" priority="7">
      <formula>$A16="Other"</formula>
    </cfRule>
  </conditionalFormatting>
  <conditionalFormatting sqref="H39:I39 E39:F39 B39:C39">
    <cfRule type="expression" dxfId="443" priority="6">
      <formula>AND($A39&lt;&gt;"",B39="")</formula>
    </cfRule>
  </conditionalFormatting>
  <conditionalFormatting sqref="B39:C39">
    <cfRule type="expression" dxfId="442" priority="5">
      <formula>$A39="Other"</formula>
    </cfRule>
  </conditionalFormatting>
  <conditionalFormatting sqref="H40:I40 E40:F40 B40:C40">
    <cfRule type="expression" dxfId="441" priority="4">
      <formula>AND($A40&lt;&gt;"",B40="")</formula>
    </cfRule>
  </conditionalFormatting>
  <conditionalFormatting sqref="B40:C40">
    <cfRule type="expression" dxfId="440" priority="3">
      <formula>$A40="Other"</formula>
    </cfRule>
  </conditionalFormatting>
  <conditionalFormatting sqref="H41:I41 E41:F41 B41:C41">
    <cfRule type="expression" dxfId="439" priority="2">
      <formula>AND($A41&lt;&gt;"",B41="")</formula>
    </cfRule>
  </conditionalFormatting>
  <conditionalFormatting sqref="B41:C41">
    <cfRule type="expression" dxfId="438"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pageSetUpPr fitToPage="1"/>
  </sheetPr>
  <dimension ref="A1:V43"/>
  <sheetViews>
    <sheetView showGridLines="0" workbookViewId="0">
      <pane ySplit="15" topLeftCell="A16" activePane="bottomLeft" state="frozen"/>
      <selection activeCell="E7" sqref="E7:I7"/>
      <selection pane="bottomLeft" activeCell="A42" sqref="A42"/>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5" t="s">
        <v>23</v>
      </c>
      <c r="E1" s="30"/>
      <c r="H1" s="30"/>
    </row>
    <row r="2" spans="1:22" ht="15" customHeight="1">
      <c r="A2" s="35" t="s">
        <v>187</v>
      </c>
      <c r="E2" s="214"/>
      <c r="H2" s="214"/>
    </row>
    <row r="3" spans="1:22" ht="15" customHeight="1">
      <c r="A3" s="30" t="s">
        <v>185</v>
      </c>
      <c r="C3" s="138">
        <f>IF('Set-Up Worksheet'!F3="","Data Not Entered On Set-Up Worksheet",'Set-Up Worksheet'!F3)</f>
        <v>2021</v>
      </c>
      <c r="D3" s="138"/>
      <c r="G3" s="138"/>
      <c r="J3" s="138"/>
    </row>
    <row r="4" spans="1:22" ht="15" customHeight="1">
      <c r="A4" s="30" t="s">
        <v>186</v>
      </c>
      <c r="C4" s="138" t="str">
        <f>IF('Set-Up Worksheet'!F4="","Data Not Entered On Set-Up Worksheet",'Set-Up Worksheet'!F4)</f>
        <v>1st Quarter</v>
      </c>
      <c r="D4" s="138"/>
      <c r="G4" s="138"/>
      <c r="J4" s="138"/>
    </row>
    <row r="5" spans="1:22" ht="15" customHeight="1">
      <c r="A5" s="30"/>
      <c r="C5" s="32"/>
      <c r="D5" s="32"/>
      <c r="G5" s="32"/>
      <c r="J5" s="32"/>
    </row>
    <row r="6" spans="1:22" ht="15" customHeight="1">
      <c r="A6" s="30" t="s">
        <v>262</v>
      </c>
      <c r="C6" s="32"/>
      <c r="D6" s="32"/>
      <c r="E6" s="30"/>
      <c r="G6" s="32"/>
      <c r="H6" s="30"/>
      <c r="J6" s="32"/>
    </row>
    <row r="7" spans="1:22" ht="15" customHeight="1">
      <c r="A7" s="31" t="s">
        <v>315</v>
      </c>
      <c r="C7" s="32"/>
      <c r="D7" s="32"/>
      <c r="E7" s="30"/>
      <c r="G7" s="32"/>
      <c r="H7" s="30"/>
      <c r="J7" s="32"/>
    </row>
    <row r="8" spans="1:22" ht="15" customHeight="1">
      <c r="A8" s="30"/>
      <c r="C8" s="32"/>
      <c r="D8" s="32"/>
      <c r="G8" s="32"/>
      <c r="J8" s="32"/>
      <c r="N8" s="51"/>
      <c r="O8" s="51"/>
      <c r="P8" s="52"/>
      <c r="Q8" s="51"/>
      <c r="R8" s="51"/>
      <c r="S8" s="51"/>
      <c r="T8" s="51"/>
      <c r="U8" s="30"/>
      <c r="V8" s="34"/>
    </row>
    <row r="9" spans="1:22" ht="15" customHeight="1">
      <c r="A9" s="30" t="s">
        <v>24</v>
      </c>
      <c r="C9" s="38" t="str">
        <f>IF('Set-Up Worksheet'!E7="","Data Not Entered On Set-Up Worksheet",'Set-Up Worksheet'!E7)</f>
        <v>Data Not Entered On Set-Up Worksheet</v>
      </c>
      <c r="D9" s="38"/>
      <c r="F9" s="76" t="s">
        <v>362</v>
      </c>
      <c r="G9" s="38"/>
      <c r="J9" s="38"/>
    </row>
    <row r="10" spans="1:22" ht="15" customHeight="1">
      <c r="A10" s="30" t="s">
        <v>9</v>
      </c>
      <c r="C10" s="32" t="s">
        <v>10</v>
      </c>
      <c r="D10" s="32"/>
      <c r="F10" s="76"/>
      <c r="G10" s="32"/>
      <c r="J10" s="32"/>
    </row>
    <row r="11" spans="1:22" ht="15" customHeight="1">
      <c r="A11" s="30" t="s">
        <v>188</v>
      </c>
      <c r="C11" s="39" t="str">
        <f>IF(C4="Data Not Entered On Set-Up Worksheet","Data Not Entered On Set-Up Worksheet",IF(C4="1st Quarter",'Report Schedule'!D37,IF(C4="2nd Quarter",'Report Schedule'!E37,IF(C4="3rd Quarter",'Report Schedule'!F37,IF(C4="4th Quarter",'Report Schedule'!G37,"")))))</f>
        <v>Apr - Jun 2020</v>
      </c>
      <c r="D11" s="39"/>
      <c r="G11" s="39"/>
      <c r="J11" s="39"/>
    </row>
    <row r="12" spans="1:22" ht="15" customHeight="1" thickBot="1">
      <c r="A12" s="30"/>
      <c r="C12" s="39"/>
      <c r="D12" s="39"/>
      <c r="G12" s="39"/>
      <c r="J12" s="39"/>
    </row>
    <row r="13" spans="1:22" ht="18" customHeight="1" thickBot="1">
      <c r="A13" s="146" t="s">
        <v>252</v>
      </c>
      <c r="B13" s="273" t="s">
        <v>34</v>
      </c>
      <c r="C13" s="151"/>
      <c r="D13" s="152"/>
      <c r="E13" s="272" t="s">
        <v>189</v>
      </c>
      <c r="F13" s="147"/>
      <c r="G13" s="148"/>
      <c r="H13" s="273" t="s">
        <v>191</v>
      </c>
      <c r="I13" s="151"/>
      <c r="J13" s="152"/>
    </row>
    <row r="14" spans="1:22" s="34" customFormat="1" ht="13.5" thickBot="1">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c r="A15" s="72" t="s">
        <v>38</v>
      </c>
      <c r="B15" s="158" t="s">
        <v>26</v>
      </c>
      <c r="C15" s="156" t="s">
        <v>25</v>
      </c>
      <c r="D15" s="157" t="s">
        <v>27</v>
      </c>
      <c r="E15" s="222" t="s">
        <v>26</v>
      </c>
      <c r="F15" s="64" t="s">
        <v>25</v>
      </c>
      <c r="G15" s="65" t="s">
        <v>27</v>
      </c>
      <c r="H15" s="224" t="s">
        <v>26</v>
      </c>
      <c r="I15" s="156" t="s">
        <v>25</v>
      </c>
      <c r="J15" s="157" t="s">
        <v>27</v>
      </c>
    </row>
    <row r="16" spans="1:22" ht="18" customHeight="1">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437" priority="19">
      <formula>C3="Data Not Entered On Set-Up Worksheet"</formula>
    </cfRule>
  </conditionalFormatting>
  <conditionalFormatting sqref="B16:C38 E16:F38 H16:I38 H42:I42 E42:F42 B42:C42">
    <cfRule type="expression" dxfId="436" priority="18">
      <formula>AND($A16&lt;&gt;"",B16="")</formula>
    </cfRule>
  </conditionalFormatting>
  <conditionalFormatting sqref="G3:G4 G9 G11:G12">
    <cfRule type="expression" dxfId="435" priority="17">
      <formula>G3="Data Not Entered On Set-Up Worksheet"</formula>
    </cfRule>
  </conditionalFormatting>
  <conditionalFormatting sqref="J3:J4 J9 J11:J12">
    <cfRule type="expression" dxfId="434" priority="15">
      <formula>J3="Data Not Entered On Set-Up Worksheet"</formula>
    </cfRule>
  </conditionalFormatting>
  <conditionalFormatting sqref="F9:F10">
    <cfRule type="expression" dxfId="433" priority="13">
      <formula>F9="Data Not Entered On Set-Up Worksheet"</formula>
    </cfRule>
  </conditionalFormatting>
  <conditionalFormatting sqref="B16:C38 B42:C42">
    <cfRule type="expression" dxfId="432" priority="7">
      <formula>$A16="Other"</formula>
    </cfRule>
  </conditionalFormatting>
  <conditionalFormatting sqref="H39:I39 E39:F39 B39:C39">
    <cfRule type="expression" dxfId="431" priority="6">
      <formula>AND($A39&lt;&gt;"",B39="")</formula>
    </cfRule>
  </conditionalFormatting>
  <conditionalFormatting sqref="B39:C39">
    <cfRule type="expression" dxfId="430" priority="5">
      <formula>$A39="Other"</formula>
    </cfRule>
  </conditionalFormatting>
  <conditionalFormatting sqref="H40:I40 E40:F40 B40:C40">
    <cfRule type="expression" dxfId="429" priority="4">
      <formula>AND($A40&lt;&gt;"",B40="")</formula>
    </cfRule>
  </conditionalFormatting>
  <conditionalFormatting sqref="B40:C40">
    <cfRule type="expression" dxfId="428" priority="3">
      <formula>$A40="Other"</formula>
    </cfRule>
  </conditionalFormatting>
  <conditionalFormatting sqref="H41:I41 E41:F41 B41:C41">
    <cfRule type="expression" dxfId="427" priority="2">
      <formula>AND($A41&lt;&gt;"",B41="")</formula>
    </cfRule>
  </conditionalFormatting>
  <conditionalFormatting sqref="B41:C41">
    <cfRule type="expression" dxfId="426"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5" t="s">
        <v>23</v>
      </c>
      <c r="E1" s="30"/>
      <c r="H1" s="30"/>
    </row>
    <row r="2" spans="1:22" ht="15" customHeight="1">
      <c r="A2" s="35" t="s">
        <v>187</v>
      </c>
      <c r="E2" s="214"/>
      <c r="H2" s="214"/>
    </row>
    <row r="3" spans="1:22" ht="15" customHeight="1">
      <c r="A3" s="30" t="s">
        <v>185</v>
      </c>
      <c r="C3" s="138">
        <f>IF('Set-Up Worksheet'!F3="","Data Not Entered On Set-Up Worksheet",'Set-Up Worksheet'!F3)</f>
        <v>2021</v>
      </c>
      <c r="D3" s="138"/>
      <c r="G3" s="138"/>
      <c r="J3" s="138"/>
    </row>
    <row r="4" spans="1:22" ht="15" customHeight="1">
      <c r="A4" s="30" t="s">
        <v>186</v>
      </c>
      <c r="C4" s="138" t="str">
        <f>IF('Set-Up Worksheet'!F4="","Data Not Entered On Set-Up Worksheet",'Set-Up Worksheet'!F4)</f>
        <v>1st Quarter</v>
      </c>
      <c r="D4" s="138"/>
      <c r="G4" s="138"/>
      <c r="J4" s="138"/>
    </row>
    <row r="5" spans="1:22" ht="15" customHeight="1">
      <c r="A5" s="30"/>
      <c r="C5" s="32"/>
      <c r="D5" s="32"/>
      <c r="G5" s="32"/>
      <c r="J5" s="32"/>
    </row>
    <row r="6" spans="1:22" ht="15" customHeight="1">
      <c r="A6" s="30" t="s">
        <v>262</v>
      </c>
      <c r="C6" s="32"/>
      <c r="D6" s="32"/>
      <c r="E6" s="30"/>
      <c r="G6" s="32"/>
      <c r="H6" s="30"/>
      <c r="J6" s="32"/>
    </row>
    <row r="7" spans="1:22" ht="15" customHeight="1">
      <c r="A7" s="31" t="s">
        <v>316</v>
      </c>
      <c r="C7" s="32"/>
      <c r="D7" s="32"/>
      <c r="E7" s="30"/>
      <c r="G7" s="32"/>
      <c r="H7" s="30"/>
      <c r="J7" s="32"/>
    </row>
    <row r="8" spans="1:22" ht="15" customHeight="1">
      <c r="A8" s="30"/>
      <c r="C8" s="32"/>
      <c r="D8" s="32"/>
      <c r="G8" s="32"/>
      <c r="J8" s="32"/>
      <c r="N8" s="51"/>
      <c r="O8" s="51"/>
      <c r="P8" s="52"/>
      <c r="Q8" s="51"/>
      <c r="R8" s="51"/>
      <c r="S8" s="51"/>
      <c r="T8" s="51"/>
      <c r="U8" s="30"/>
      <c r="V8" s="34"/>
    </row>
    <row r="9" spans="1:22" ht="15" customHeight="1">
      <c r="A9" s="30" t="s">
        <v>24</v>
      </c>
      <c r="C9" s="38" t="str">
        <f>IF('Set-Up Worksheet'!E7="","Data Not Entered On Set-Up Worksheet",'Set-Up Worksheet'!E7)</f>
        <v>Data Not Entered On Set-Up Worksheet</v>
      </c>
      <c r="D9" s="38"/>
      <c r="F9" s="76" t="s">
        <v>362</v>
      </c>
      <c r="G9" s="38"/>
      <c r="J9" s="38"/>
    </row>
    <row r="10" spans="1:22" ht="15" customHeight="1">
      <c r="A10" s="30" t="s">
        <v>9</v>
      </c>
      <c r="C10" s="32" t="s">
        <v>10</v>
      </c>
      <c r="D10" s="32"/>
      <c r="F10" s="76"/>
      <c r="G10" s="32"/>
      <c r="J10" s="32"/>
    </row>
    <row r="11" spans="1:22" ht="15" customHeight="1">
      <c r="A11" s="30" t="s">
        <v>188</v>
      </c>
      <c r="C11" s="39" t="str">
        <f>IF(C4="Data Not Entered On Set-Up Worksheet","Data Not Entered On Set-Up Worksheet",IF(C4="1st Quarter",'Report Schedule'!D37,IF(C4="2nd Quarter",'Report Schedule'!E37,IF(C4="3rd Quarter",'Report Schedule'!F37,IF(C4="4th Quarter",'Report Schedule'!G37,"")))))</f>
        <v>Apr - Jun 2020</v>
      </c>
      <c r="D11" s="39"/>
      <c r="G11" s="39"/>
      <c r="J11" s="39"/>
    </row>
    <row r="12" spans="1:22" ht="15" customHeight="1" thickBot="1">
      <c r="A12" s="30"/>
      <c r="C12" s="39"/>
      <c r="D12" s="39"/>
      <c r="G12" s="39"/>
      <c r="J12" s="39"/>
    </row>
    <row r="13" spans="1:22" ht="18" customHeight="1" thickBot="1">
      <c r="A13" s="146" t="s">
        <v>252</v>
      </c>
      <c r="B13" s="273" t="s">
        <v>34</v>
      </c>
      <c r="C13" s="151"/>
      <c r="D13" s="152"/>
      <c r="E13" s="272" t="s">
        <v>189</v>
      </c>
      <c r="F13" s="147"/>
      <c r="G13" s="148"/>
      <c r="H13" s="273" t="s">
        <v>191</v>
      </c>
      <c r="I13" s="151"/>
      <c r="J13" s="152"/>
    </row>
    <row r="14" spans="1:22" s="34" customFormat="1" ht="13.5" thickBot="1">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8.25">
      <c r="A15" s="72" t="s">
        <v>38</v>
      </c>
      <c r="B15" s="158" t="s">
        <v>26</v>
      </c>
      <c r="C15" s="156" t="s">
        <v>25</v>
      </c>
      <c r="D15" s="157" t="s">
        <v>27</v>
      </c>
      <c r="E15" s="222" t="s">
        <v>26</v>
      </c>
      <c r="F15" s="64" t="s">
        <v>25</v>
      </c>
      <c r="G15" s="65" t="s">
        <v>27</v>
      </c>
      <c r="H15" s="224" t="s">
        <v>26</v>
      </c>
      <c r="I15" s="156" t="s">
        <v>25</v>
      </c>
      <c r="J15" s="157" t="s">
        <v>27</v>
      </c>
    </row>
    <row r="16" spans="1:22" ht="18" customHeight="1">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425" priority="19">
      <formula>C3="Data Not Entered On Set-Up Worksheet"</formula>
    </cfRule>
  </conditionalFormatting>
  <conditionalFormatting sqref="B16:C38 E16:F38 H16:I38 H42:I42 E42:F42 B42:C42">
    <cfRule type="expression" dxfId="424" priority="18">
      <formula>AND($A16&lt;&gt;"",B16="")</formula>
    </cfRule>
  </conditionalFormatting>
  <conditionalFormatting sqref="G3:G4 G9 G11:G12">
    <cfRule type="expression" dxfId="423" priority="17">
      <formula>G3="Data Not Entered On Set-Up Worksheet"</formula>
    </cfRule>
  </conditionalFormatting>
  <conditionalFormatting sqref="J3:J4 J9 J11:J12">
    <cfRule type="expression" dxfId="422" priority="15">
      <formula>J3="Data Not Entered On Set-Up Worksheet"</formula>
    </cfRule>
  </conditionalFormatting>
  <conditionalFormatting sqref="F9:F10">
    <cfRule type="expression" dxfId="421" priority="13">
      <formula>F9="Data Not Entered On Set-Up Worksheet"</formula>
    </cfRule>
  </conditionalFormatting>
  <conditionalFormatting sqref="B16:C38 B42:C42">
    <cfRule type="expression" dxfId="420" priority="7">
      <formula>$A16="Other"</formula>
    </cfRule>
  </conditionalFormatting>
  <conditionalFormatting sqref="H39:I39 E39:F39 B39:C39">
    <cfRule type="expression" dxfId="419" priority="6">
      <formula>AND($A39&lt;&gt;"",B39="")</formula>
    </cfRule>
  </conditionalFormatting>
  <conditionalFormatting sqref="B39:C39">
    <cfRule type="expression" dxfId="418" priority="5">
      <formula>$A39="Other"</formula>
    </cfRule>
  </conditionalFormatting>
  <conditionalFormatting sqref="H40:I40 E40:F40 B40:C40">
    <cfRule type="expression" dxfId="417" priority="4">
      <formula>AND($A40&lt;&gt;"",B40="")</formula>
    </cfRule>
  </conditionalFormatting>
  <conditionalFormatting sqref="B40:C40">
    <cfRule type="expression" dxfId="416" priority="3">
      <formula>$A40="Other"</formula>
    </cfRule>
  </conditionalFormatting>
  <conditionalFormatting sqref="H41:I41 E41:F41 B41:C41">
    <cfRule type="expression" dxfId="415" priority="2">
      <formula>AND($A41&lt;&gt;"",B41="")</formula>
    </cfRule>
  </conditionalFormatting>
  <conditionalFormatting sqref="B41:C41">
    <cfRule type="expression" dxfId="414"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pageSetUpPr fitToPage="1"/>
  </sheetPr>
  <dimension ref="A1:H21"/>
  <sheetViews>
    <sheetView showGridLines="0" topLeftCell="A5" workbookViewId="0">
      <selection activeCell="B19" sqref="B19"/>
    </sheetView>
  </sheetViews>
  <sheetFormatPr defaultRowHeight="12.75"/>
  <cols>
    <col min="1" max="7" width="15.7109375" style="22" customWidth="1"/>
    <col min="8" max="16384" width="9.140625" style="22"/>
  </cols>
  <sheetData>
    <row r="1" spans="1:8" ht="15" customHeight="1">
      <c r="A1" s="35" t="s">
        <v>23</v>
      </c>
    </row>
    <row r="2" spans="1:8" ht="15" customHeight="1">
      <c r="A2" s="35" t="s">
        <v>187</v>
      </c>
    </row>
    <row r="3" spans="1:8" ht="15" customHeight="1">
      <c r="A3" s="30" t="s">
        <v>185</v>
      </c>
      <c r="C3" s="138">
        <f>IF('Set-Up Worksheet'!F3="","Data Not Entered On Set-Up Worksheet",'Set-Up Worksheet'!F3)</f>
        <v>2021</v>
      </c>
    </row>
    <row r="4" spans="1:8" ht="15" customHeight="1">
      <c r="A4" s="30" t="s">
        <v>186</v>
      </c>
      <c r="C4" s="138" t="str">
        <f>IF('Set-Up Worksheet'!F4="","Data Not Entered On Set-Up Worksheet",'Set-Up Worksheet'!F4)</f>
        <v>1st Quarter</v>
      </c>
    </row>
    <row r="5" spans="1:8" ht="15" customHeight="1">
      <c r="C5" s="32"/>
    </row>
    <row r="6" spans="1:8" ht="15" customHeight="1">
      <c r="A6" s="30" t="s">
        <v>261</v>
      </c>
      <c r="C6" s="32"/>
    </row>
    <row r="7" spans="1:8" ht="15" customHeight="1">
      <c r="A7" s="30" t="s">
        <v>317</v>
      </c>
      <c r="C7" s="32"/>
    </row>
    <row r="8" spans="1:8" ht="15" customHeight="1">
      <c r="A8" s="30"/>
      <c r="C8" s="32"/>
    </row>
    <row r="9" spans="1:8" ht="15" customHeight="1">
      <c r="A9" s="30" t="s">
        <v>24</v>
      </c>
      <c r="C9" s="38" t="str">
        <f>IF('Set-Up Worksheet'!E7="","Data Not Entered On Set-Up Worksheet",'Set-Up Worksheet'!E7)</f>
        <v>Data Not Entered On Set-Up Worksheet</v>
      </c>
    </row>
    <row r="10" spans="1:8" ht="15" customHeight="1">
      <c r="A10" s="30" t="s">
        <v>9</v>
      </c>
      <c r="C10" s="32" t="s">
        <v>10</v>
      </c>
    </row>
    <row r="11" spans="1:8" ht="15" customHeight="1">
      <c r="A11" s="30" t="s">
        <v>188</v>
      </c>
      <c r="C11" s="39" t="str">
        <f>IF(C4="Data Not Entered On Set-Up Worksheet","Data Not Entered On Set-Up Worksheet",IF(C4="1st Quarter",'Report Schedule'!D40,IF(C4="2nd Quarter",'Report Schedule'!E40,IF(C4="3rd Quarter",'Report Schedule'!F40,IF(C4="4th Quarter",'Report Schedule'!G40,"")))))</f>
        <v>Apr - Jun 2020</v>
      </c>
      <c r="D11" s="51"/>
    </row>
    <row r="14" spans="1:8" ht="193.5" customHeight="1">
      <c r="A14" s="443" t="s">
        <v>349</v>
      </c>
      <c r="B14" s="443"/>
      <c r="C14" s="443"/>
      <c r="D14" s="443"/>
      <c r="E14" s="443"/>
      <c r="F14" s="443"/>
      <c r="G14" s="443"/>
      <c r="H14" s="46"/>
    </row>
    <row r="15" spans="1:8">
      <c r="A15" s="46"/>
      <c r="B15" s="46"/>
      <c r="C15" s="46"/>
      <c r="D15" s="46"/>
      <c r="E15" s="46"/>
      <c r="F15" s="46"/>
      <c r="G15" s="46"/>
      <c r="H15" s="46"/>
    </row>
    <row r="17" spans="2:6">
      <c r="B17" s="226" t="s">
        <v>321</v>
      </c>
      <c r="C17" s="227"/>
      <c r="D17" s="227"/>
      <c r="E17" s="228"/>
    </row>
    <row r="18" spans="2:6" ht="15" customHeight="1">
      <c r="B18" s="225" t="s">
        <v>318</v>
      </c>
      <c r="C18" s="225" t="s">
        <v>319</v>
      </c>
      <c r="D18" s="225" t="s">
        <v>350</v>
      </c>
      <c r="E18" s="232" t="s">
        <v>322</v>
      </c>
      <c r="F18" s="231" t="s">
        <v>320</v>
      </c>
    </row>
    <row r="19" spans="2:6" ht="20.100000000000001" customHeight="1">
      <c r="B19" s="229"/>
      <c r="C19" s="229"/>
      <c r="D19" s="229"/>
      <c r="E19" s="229"/>
      <c r="F19" s="230"/>
    </row>
    <row r="21" spans="2:6">
      <c r="B21" s="51" t="s">
        <v>323</v>
      </c>
    </row>
  </sheetData>
  <sheetProtection sheet="1" objects="1" scenarios="1"/>
  <mergeCells count="1">
    <mergeCell ref="A14:G14"/>
  </mergeCells>
  <conditionalFormatting sqref="C3:C4">
    <cfRule type="expression" dxfId="413" priority="3">
      <formula>C3="Data Not Entered On Set-Up Worksheet"</formula>
    </cfRule>
  </conditionalFormatting>
  <conditionalFormatting sqref="C9">
    <cfRule type="expression" dxfId="412" priority="2">
      <formula>C9="Data Not Entered On Set-Up Worksheet"</formula>
    </cfRule>
  </conditionalFormatting>
  <conditionalFormatting sqref="C11">
    <cfRule type="expression" dxfId="41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pageSetUpPr fitToPage="1"/>
  </sheetPr>
  <dimension ref="A1:V46"/>
  <sheetViews>
    <sheetView showGridLines="0" workbookViewId="0">
      <pane xSplit="1" ySplit="15" topLeftCell="B16" activePane="bottomRight" state="frozen"/>
      <selection pane="topRight" activeCell="B1" sqref="B1"/>
      <selection pane="bottomLeft" activeCell="A16" sqref="A16"/>
      <selection pane="bottomRight" activeCell="B16" sqref="B16"/>
    </sheetView>
  </sheetViews>
  <sheetFormatPr defaultRowHeight="12.75"/>
  <cols>
    <col min="1" max="1" width="22.42578125" style="22" customWidth="1"/>
    <col min="2" max="22" width="16.7109375" style="22" customWidth="1"/>
    <col min="23" max="16384" width="9.140625" style="22"/>
  </cols>
  <sheetData>
    <row r="1" spans="1:22" ht="15" customHeight="1">
      <c r="A1" s="35" t="s">
        <v>23</v>
      </c>
      <c r="I1" s="35" t="s">
        <v>254</v>
      </c>
      <c r="P1" s="35" t="s">
        <v>254</v>
      </c>
    </row>
    <row r="2" spans="1:22" ht="15" customHeight="1">
      <c r="A2" s="35" t="s">
        <v>187</v>
      </c>
      <c r="I2" s="247" t="s">
        <v>255</v>
      </c>
      <c r="P2" s="247" t="s">
        <v>255</v>
      </c>
    </row>
    <row r="3" spans="1:22" ht="15" customHeight="1">
      <c r="A3" s="30" t="s">
        <v>185</v>
      </c>
      <c r="C3" s="138">
        <f>IF('Set-Up Worksheet'!F3="","Data Not Entered On Set-Up Worksheet",'Set-Up Worksheet'!F3)</f>
        <v>2021</v>
      </c>
      <c r="J3" s="246">
        <f t="shared" ref="J3:J11" si="0">C3</f>
        <v>2021</v>
      </c>
      <c r="K3" s="244"/>
      <c r="L3" s="244"/>
      <c r="Q3" s="246">
        <f t="shared" ref="Q3:Q11" si="1">C3</f>
        <v>2021</v>
      </c>
    </row>
    <row r="4" spans="1:22" ht="15" customHeight="1">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c r="A5" s="30"/>
      <c r="C5" s="32"/>
      <c r="D5" s="32"/>
      <c r="E5" s="32"/>
      <c r="J5" s="244"/>
      <c r="K5" s="244"/>
      <c r="L5" s="244"/>
      <c r="Q5" s="244"/>
    </row>
    <row r="6" spans="1:22" ht="15" customHeight="1">
      <c r="A6" s="30" t="s">
        <v>261</v>
      </c>
      <c r="C6" s="32"/>
      <c r="D6" s="32"/>
      <c r="E6" s="32"/>
      <c r="J6" s="244"/>
      <c r="K6" s="244"/>
      <c r="L6" s="244"/>
      <c r="Q6" s="244"/>
    </row>
    <row r="7" spans="1:22" ht="15" customHeight="1">
      <c r="A7" s="30" t="s">
        <v>328</v>
      </c>
      <c r="C7" s="32"/>
      <c r="D7" s="32"/>
      <c r="E7" s="32"/>
      <c r="I7" s="30" t="s">
        <v>327</v>
      </c>
      <c r="J7" s="244"/>
      <c r="K7" s="244"/>
      <c r="L7" s="244"/>
      <c r="P7" s="30" t="s">
        <v>327</v>
      </c>
      <c r="Q7" s="244"/>
    </row>
    <row r="8" spans="1:22" ht="15" customHeight="1">
      <c r="A8" s="30"/>
      <c r="C8" s="32"/>
      <c r="D8" s="32"/>
      <c r="E8" s="32"/>
      <c r="J8" s="244"/>
      <c r="K8" s="244"/>
      <c r="L8" s="244"/>
      <c r="Q8" s="244"/>
    </row>
    <row r="9" spans="1:22" ht="15" customHeight="1">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c r="A10" s="30" t="s">
        <v>9</v>
      </c>
      <c r="C10" s="32" t="s">
        <v>10</v>
      </c>
      <c r="J10" s="244" t="str">
        <f t="shared" si="0"/>
        <v>Behavioral Health</v>
      </c>
      <c r="K10" s="244"/>
      <c r="L10" s="244"/>
      <c r="Q10" s="244" t="str">
        <f t="shared" si="1"/>
        <v>Behavioral Health</v>
      </c>
    </row>
    <row r="11" spans="1:22" ht="15" customHeight="1">
      <c r="A11" s="30" t="s">
        <v>188</v>
      </c>
      <c r="C11" s="39" t="str">
        <f>IF(C4="Data Not Entered On Set-Up Worksheet","Data Not Entered On Set-Up Worksheet",IF(C4="1st Quarter",'Report Schedule'!D43,IF(C4="2nd Quarter",'Report Schedule'!E43,IF(C4="3rd Quarter",'Report Schedule'!F43,IF(C4="4th Quarter",'Report Schedule'!G43,"")))))</f>
        <v>Apr - Jun 2020</v>
      </c>
      <c r="E11" s="76" t="s">
        <v>35</v>
      </c>
      <c r="J11" s="244" t="str">
        <f t="shared" si="0"/>
        <v>Apr - Jun 2020</v>
      </c>
      <c r="K11" s="244"/>
      <c r="L11" s="245" t="s">
        <v>35</v>
      </c>
      <c r="Q11" s="244" t="str">
        <f t="shared" si="1"/>
        <v>Apr - Jun 2020</v>
      </c>
      <c r="S11" s="245" t="s">
        <v>35</v>
      </c>
    </row>
    <row r="12" spans="1:22" ht="15" customHeight="1" thickBot="1">
      <c r="A12" s="30"/>
      <c r="B12" s="39"/>
    </row>
    <row r="13" spans="1:22" ht="18" customHeight="1" thickBot="1">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5" thickBot="1">
      <c r="A14" s="30"/>
      <c r="B14" s="36" t="s">
        <v>3</v>
      </c>
      <c r="C14" s="36" t="s">
        <v>3</v>
      </c>
      <c r="D14" s="36"/>
      <c r="E14" s="36"/>
      <c r="F14" s="36" t="s">
        <v>4</v>
      </c>
      <c r="G14" s="36" t="s">
        <v>8</v>
      </c>
      <c r="H14" s="36" t="s">
        <v>8</v>
      </c>
      <c r="I14" s="36" t="s">
        <v>3</v>
      </c>
      <c r="J14" s="36" t="s">
        <v>3</v>
      </c>
      <c r="K14" s="36"/>
      <c r="L14" s="36"/>
      <c r="M14" s="36" t="s">
        <v>4</v>
      </c>
      <c r="N14" s="36" t="s">
        <v>8</v>
      </c>
      <c r="O14" s="36" t="s">
        <v>8</v>
      </c>
      <c r="P14" s="36" t="s">
        <v>3</v>
      </c>
      <c r="Q14" s="36" t="s">
        <v>3</v>
      </c>
      <c r="R14" s="36"/>
      <c r="S14" s="36"/>
      <c r="T14" s="36" t="s">
        <v>4</v>
      </c>
      <c r="U14" s="36" t="s">
        <v>8</v>
      </c>
      <c r="V14" s="36" t="s">
        <v>8</v>
      </c>
    </row>
    <row r="15" spans="1:22" ht="51">
      <c r="A15" s="72" t="s">
        <v>38</v>
      </c>
      <c r="B15" s="239" t="s">
        <v>352</v>
      </c>
      <c r="C15" s="240" t="s">
        <v>353</v>
      </c>
      <c r="D15" s="240" t="s">
        <v>325</v>
      </c>
      <c r="E15" s="240" t="s">
        <v>326</v>
      </c>
      <c r="F15" s="240" t="s">
        <v>25</v>
      </c>
      <c r="G15" s="240" t="s">
        <v>354</v>
      </c>
      <c r="H15" s="241" t="s">
        <v>355</v>
      </c>
      <c r="I15" s="233" t="s">
        <v>352</v>
      </c>
      <c r="J15" s="234" t="s">
        <v>353</v>
      </c>
      <c r="K15" s="234" t="s">
        <v>325</v>
      </c>
      <c r="L15" s="234" t="s">
        <v>326</v>
      </c>
      <c r="M15" s="234" t="s">
        <v>25</v>
      </c>
      <c r="N15" s="234" t="s">
        <v>354</v>
      </c>
      <c r="O15" s="235" t="s">
        <v>355</v>
      </c>
      <c r="P15" s="239" t="s">
        <v>352</v>
      </c>
      <c r="Q15" s="240" t="s">
        <v>353</v>
      </c>
      <c r="R15" s="240" t="s">
        <v>325</v>
      </c>
      <c r="S15" s="240" t="s">
        <v>326</v>
      </c>
      <c r="T15" s="240" t="s">
        <v>25</v>
      </c>
      <c r="U15" s="240" t="s">
        <v>354</v>
      </c>
      <c r="V15" s="241" t="s">
        <v>355</v>
      </c>
    </row>
    <row r="16" spans="1:22" ht="18" customHeight="1">
      <c r="A16" s="73" t="str">
        <f>IF($C$9="Data Not Entered On Set-Up Worksheet","",IF(OR(VLOOKUP($C$9,County_Lookup,2,FALSE)="",VLOOKUP($C$9,County_Lookup,2,FALSE)=0),"",VLOOKUP($C$9,County_Lookup,2,FALSE)))</f>
        <v/>
      </c>
      <c r="B16" s="49"/>
      <c r="C16" s="41"/>
      <c r="D16" s="41"/>
      <c r="E16" s="41"/>
      <c r="F16" s="41"/>
      <c r="G16" s="42" t="str">
        <f>IF($A16="","",IF($F16=0,0,B16/$F16))</f>
        <v/>
      </c>
      <c r="H16" s="236" t="str">
        <f>IF($A16="","",IF($F16=0,0,C16/$F16))</f>
        <v/>
      </c>
      <c r="I16" s="49"/>
      <c r="J16" s="41"/>
      <c r="K16" s="41"/>
      <c r="L16" s="41"/>
      <c r="M16" s="41"/>
      <c r="N16" s="42" t="str">
        <f>IF($A16="","",IF($M16=0,0,I16/$M16))</f>
        <v/>
      </c>
      <c r="O16" s="236" t="str">
        <f>IF($A16="","",IF($M16=0,0,J16/$M16))</f>
        <v/>
      </c>
      <c r="P16" s="49"/>
      <c r="Q16" s="41"/>
      <c r="R16" s="41"/>
      <c r="S16" s="41"/>
      <c r="T16" s="41"/>
      <c r="U16" s="42" t="str">
        <f>IF($A16="","",IF($T16=0,0,P16/$T16))</f>
        <v/>
      </c>
      <c r="V16" s="236" t="str">
        <f>IF($A16="","",IF($T16=0,0,Q16/$T16))</f>
        <v/>
      </c>
    </row>
    <row r="17" spans="1:22" ht="18" customHeight="1">
      <c r="A17" s="74" t="str">
        <f>IF($C$9="Data Not Entered On Set-Up Worksheet","",IF(OR(VLOOKUP($C$9,County_Lookup,3,FALSE)="",VLOOKUP($C$9,County_Lookup,3,FALSE)=0),"",VLOOKUP($C$9,County_Lookup,3,FALSE)))</f>
        <v/>
      </c>
      <c r="B17" s="49"/>
      <c r="C17" s="41"/>
      <c r="D17" s="41"/>
      <c r="E17" s="41"/>
      <c r="F17" s="41"/>
      <c r="G17" s="42" t="str">
        <f t="shared" ref="G17:G43" si="2">IF($A17="","",IF($F17=0,0,B17/$F17))</f>
        <v/>
      </c>
      <c r="H17" s="236" t="str">
        <f t="shared" ref="H17:H43" si="3">IF($A17="","",IF($F17=0,0,C17/$F17))</f>
        <v/>
      </c>
      <c r="I17" s="49"/>
      <c r="J17" s="41"/>
      <c r="K17" s="41"/>
      <c r="L17" s="41"/>
      <c r="M17" s="41"/>
      <c r="N17" s="42" t="str">
        <f t="shared" ref="N17:N43" si="4">IF($A17="","",IF($M17=0,0,I17/$M17))</f>
        <v/>
      </c>
      <c r="O17" s="236" t="str">
        <f t="shared" ref="O17:O43" si="5">IF($A17="","",IF($M17=0,0,J17/$M17))</f>
        <v/>
      </c>
      <c r="P17" s="49"/>
      <c r="Q17" s="41"/>
      <c r="R17" s="41"/>
      <c r="S17" s="41"/>
      <c r="T17" s="41"/>
      <c r="U17" s="42" t="str">
        <f t="shared" ref="U17:U43" si="6">IF($A17="","",IF($T17=0,0,P17/$T17))</f>
        <v/>
      </c>
      <c r="V17" s="236" t="str">
        <f t="shared" ref="V17:V43" si="7">IF($A17="","",IF($T17=0,0,Q17/$T17))</f>
        <v/>
      </c>
    </row>
    <row r="18" spans="1:22" ht="18" customHeight="1">
      <c r="A18" s="74" t="str">
        <f>IF($C$9="Data Not Entered On Set-Up Worksheet","",IF(OR(VLOOKUP($C$9,County_Lookup,4,FALSE)="",VLOOKUP($C$9,County_Lookup,4,FALSE)=0),"",VLOOKUP($C$9,County_Lookup,4,FALSE)))</f>
        <v/>
      </c>
      <c r="B18" s="49"/>
      <c r="C18" s="41"/>
      <c r="D18" s="41"/>
      <c r="E18" s="41"/>
      <c r="F18" s="41"/>
      <c r="G18" s="42" t="str">
        <f t="shared" si="2"/>
        <v/>
      </c>
      <c r="H18" s="236" t="str">
        <f t="shared" si="3"/>
        <v/>
      </c>
      <c r="I18" s="49"/>
      <c r="J18" s="41"/>
      <c r="K18" s="41"/>
      <c r="L18" s="41"/>
      <c r="M18" s="41"/>
      <c r="N18" s="42" t="str">
        <f t="shared" si="4"/>
        <v/>
      </c>
      <c r="O18" s="236" t="str">
        <f t="shared" si="5"/>
        <v/>
      </c>
      <c r="P18" s="49"/>
      <c r="Q18" s="41"/>
      <c r="R18" s="41"/>
      <c r="S18" s="41"/>
      <c r="T18" s="41"/>
      <c r="U18" s="42" t="str">
        <f t="shared" si="6"/>
        <v/>
      </c>
      <c r="V18" s="236" t="str">
        <f t="shared" si="7"/>
        <v/>
      </c>
    </row>
    <row r="19" spans="1:22" ht="18" customHeight="1">
      <c r="A19" s="74" t="str">
        <f>IF($C$9="Data Not Entered On Set-Up Worksheet","",IF(OR(VLOOKUP($C$9,County_Lookup,5,FALSE)="",VLOOKUP($C$9,County_Lookup,5,FALSE)=0),"",VLOOKUP($C$9,County_Lookup,5,FALSE)))</f>
        <v/>
      </c>
      <c r="B19" s="49"/>
      <c r="C19" s="41"/>
      <c r="D19" s="41"/>
      <c r="E19" s="41"/>
      <c r="F19" s="41"/>
      <c r="G19" s="42" t="str">
        <f t="shared" si="2"/>
        <v/>
      </c>
      <c r="H19" s="236" t="str">
        <f t="shared" si="3"/>
        <v/>
      </c>
      <c r="I19" s="49"/>
      <c r="J19" s="41"/>
      <c r="K19" s="41"/>
      <c r="L19" s="41"/>
      <c r="M19" s="41"/>
      <c r="N19" s="42" t="str">
        <f t="shared" si="4"/>
        <v/>
      </c>
      <c r="O19" s="236" t="str">
        <f t="shared" si="5"/>
        <v/>
      </c>
      <c r="P19" s="49"/>
      <c r="Q19" s="41"/>
      <c r="R19" s="41"/>
      <c r="S19" s="41"/>
      <c r="T19" s="41"/>
      <c r="U19" s="42" t="str">
        <f t="shared" si="6"/>
        <v/>
      </c>
      <c r="V19" s="236" t="str">
        <f t="shared" si="7"/>
        <v/>
      </c>
    </row>
    <row r="20" spans="1:22" ht="18" customHeight="1">
      <c r="A20" s="74" t="str">
        <f>IF($C$9="Data Not Entered On Set-Up Worksheet","",IF(OR(VLOOKUP($C$9,County_Lookup,6,FALSE)="",VLOOKUP($C$9,County_Lookup,6,FALSE)=0),"",VLOOKUP($C$9,County_Lookup,6,FALSE)))</f>
        <v/>
      </c>
      <c r="B20" s="49"/>
      <c r="C20" s="41"/>
      <c r="D20" s="41"/>
      <c r="E20" s="41"/>
      <c r="F20" s="41"/>
      <c r="G20" s="42" t="str">
        <f t="shared" si="2"/>
        <v/>
      </c>
      <c r="H20" s="236" t="str">
        <f t="shared" si="3"/>
        <v/>
      </c>
      <c r="I20" s="49"/>
      <c r="J20" s="41"/>
      <c r="K20" s="41"/>
      <c r="L20" s="41"/>
      <c r="M20" s="41"/>
      <c r="N20" s="42" t="str">
        <f t="shared" si="4"/>
        <v/>
      </c>
      <c r="O20" s="236" t="str">
        <f t="shared" si="5"/>
        <v/>
      </c>
      <c r="P20" s="49"/>
      <c r="Q20" s="41"/>
      <c r="R20" s="41"/>
      <c r="S20" s="41"/>
      <c r="T20" s="41"/>
      <c r="U20" s="42" t="str">
        <f t="shared" si="6"/>
        <v/>
      </c>
      <c r="V20" s="236" t="str">
        <f t="shared" si="7"/>
        <v/>
      </c>
    </row>
    <row r="21" spans="1:22" ht="18" customHeight="1">
      <c r="A21" s="74" t="str">
        <f>IF($C$9="Data Not Entered On Set-Up Worksheet","",IF(OR(VLOOKUP($C$9,County_Lookup,7,FALSE)="",VLOOKUP($C$9,County_Lookup,7,FALSE)=0),"",VLOOKUP($C$9,County_Lookup,7,FALSE)))</f>
        <v/>
      </c>
      <c r="B21" s="49"/>
      <c r="C21" s="41"/>
      <c r="D21" s="41"/>
      <c r="E21" s="41"/>
      <c r="F21" s="41"/>
      <c r="G21" s="42" t="str">
        <f t="shared" si="2"/>
        <v/>
      </c>
      <c r="H21" s="236" t="str">
        <f t="shared" si="3"/>
        <v/>
      </c>
      <c r="I21" s="49"/>
      <c r="J21" s="41"/>
      <c r="K21" s="41"/>
      <c r="L21" s="41"/>
      <c r="M21" s="41"/>
      <c r="N21" s="42" t="str">
        <f t="shared" si="4"/>
        <v/>
      </c>
      <c r="O21" s="236" t="str">
        <f t="shared" si="5"/>
        <v/>
      </c>
      <c r="P21" s="49"/>
      <c r="Q21" s="41"/>
      <c r="R21" s="41"/>
      <c r="S21" s="41"/>
      <c r="T21" s="41"/>
      <c r="U21" s="42" t="str">
        <f t="shared" si="6"/>
        <v/>
      </c>
      <c r="V21" s="236" t="str">
        <f t="shared" si="7"/>
        <v/>
      </c>
    </row>
    <row r="22" spans="1:22" ht="18" customHeight="1">
      <c r="A22" s="73" t="str">
        <f>IF($C$9="Data Not Entered On Set-Up Worksheet","",IF(OR(VLOOKUP($C$9,County_Lookup,8,FALSE)="",VLOOKUP($C$9,County_Lookup,8,FALSE)=0),"",VLOOKUP($C$9,County_Lookup,8,FALSE)))</f>
        <v/>
      </c>
      <c r="B22" s="49"/>
      <c r="C22" s="41"/>
      <c r="D22" s="41"/>
      <c r="E22" s="41"/>
      <c r="F22" s="41"/>
      <c r="G22" s="42" t="str">
        <f t="shared" si="2"/>
        <v/>
      </c>
      <c r="H22" s="236" t="str">
        <f t="shared" si="3"/>
        <v/>
      </c>
      <c r="I22" s="49"/>
      <c r="J22" s="41"/>
      <c r="K22" s="41"/>
      <c r="L22" s="41"/>
      <c r="M22" s="41"/>
      <c r="N22" s="42" t="str">
        <f t="shared" si="4"/>
        <v/>
      </c>
      <c r="O22" s="236" t="str">
        <f t="shared" si="5"/>
        <v/>
      </c>
      <c r="P22" s="49"/>
      <c r="Q22" s="41"/>
      <c r="R22" s="41"/>
      <c r="S22" s="41"/>
      <c r="T22" s="41"/>
      <c r="U22" s="42" t="str">
        <f t="shared" si="6"/>
        <v/>
      </c>
      <c r="V22" s="236" t="str">
        <f t="shared" si="7"/>
        <v/>
      </c>
    </row>
    <row r="23" spans="1:22" ht="18" customHeight="1">
      <c r="A23" s="74" t="str">
        <f>IF($C$9="Data Not Entered On Set-Up Worksheet","",IF(OR(VLOOKUP($C$9,County_Lookup,9,FALSE)="",VLOOKUP($C$9,County_Lookup,9,FALSE)=0),"",VLOOKUP($C$9,County_Lookup,9,FALSE)))</f>
        <v/>
      </c>
      <c r="B23" s="49"/>
      <c r="C23" s="41"/>
      <c r="D23" s="41"/>
      <c r="E23" s="41"/>
      <c r="F23" s="41"/>
      <c r="G23" s="42" t="str">
        <f t="shared" si="2"/>
        <v/>
      </c>
      <c r="H23" s="236" t="str">
        <f t="shared" si="3"/>
        <v/>
      </c>
      <c r="I23" s="49"/>
      <c r="J23" s="41"/>
      <c r="K23" s="41"/>
      <c r="L23" s="41"/>
      <c r="M23" s="41"/>
      <c r="N23" s="42" t="str">
        <f t="shared" si="4"/>
        <v/>
      </c>
      <c r="O23" s="236" t="str">
        <f t="shared" si="5"/>
        <v/>
      </c>
      <c r="P23" s="49"/>
      <c r="Q23" s="41"/>
      <c r="R23" s="41"/>
      <c r="S23" s="41"/>
      <c r="T23" s="41"/>
      <c r="U23" s="42" t="str">
        <f t="shared" si="6"/>
        <v/>
      </c>
      <c r="V23" s="236" t="str">
        <f t="shared" si="7"/>
        <v/>
      </c>
    </row>
    <row r="24" spans="1:22" ht="18" customHeight="1">
      <c r="A24" s="74" t="str">
        <f>IF($C$9="Data Not Entered On Set-Up Worksheet","",IF(OR(VLOOKUP($C$9,County_Lookup,10,FALSE)="",VLOOKUP($C$9,County_Lookup,10,FALSE)=0),"",VLOOKUP($C$9,County_Lookup,10,FALSE)))</f>
        <v/>
      </c>
      <c r="B24" s="49"/>
      <c r="C24" s="41"/>
      <c r="D24" s="41"/>
      <c r="E24" s="41"/>
      <c r="F24" s="41"/>
      <c r="G24" s="42" t="str">
        <f t="shared" si="2"/>
        <v/>
      </c>
      <c r="H24" s="236" t="str">
        <f t="shared" si="3"/>
        <v/>
      </c>
      <c r="I24" s="49"/>
      <c r="J24" s="41"/>
      <c r="K24" s="41"/>
      <c r="L24" s="41"/>
      <c r="M24" s="41"/>
      <c r="N24" s="42" t="str">
        <f t="shared" si="4"/>
        <v/>
      </c>
      <c r="O24" s="236" t="str">
        <f t="shared" si="5"/>
        <v/>
      </c>
      <c r="P24" s="49"/>
      <c r="Q24" s="41"/>
      <c r="R24" s="41"/>
      <c r="S24" s="41"/>
      <c r="T24" s="41"/>
      <c r="U24" s="42" t="str">
        <f t="shared" si="6"/>
        <v/>
      </c>
      <c r="V24" s="236" t="str">
        <f t="shared" si="7"/>
        <v/>
      </c>
    </row>
    <row r="25" spans="1:22" ht="18" customHeight="1">
      <c r="A25" s="74" t="str">
        <f>IF($C$9="Data Not Entered On Set-Up Worksheet","",IF(OR(VLOOKUP($C$9,County_Lookup,11,FALSE)="",VLOOKUP($C$9,County_Lookup,11,FALSE)=0),"",VLOOKUP($C$9,County_Lookup,11,FALSE)))</f>
        <v/>
      </c>
      <c r="B25" s="49"/>
      <c r="C25" s="41"/>
      <c r="D25" s="41"/>
      <c r="E25" s="41"/>
      <c r="F25" s="41"/>
      <c r="G25" s="42" t="str">
        <f t="shared" si="2"/>
        <v/>
      </c>
      <c r="H25" s="236" t="str">
        <f t="shared" si="3"/>
        <v/>
      </c>
      <c r="I25" s="49"/>
      <c r="J25" s="41"/>
      <c r="K25" s="41"/>
      <c r="L25" s="41"/>
      <c r="M25" s="41"/>
      <c r="N25" s="42" t="str">
        <f t="shared" si="4"/>
        <v/>
      </c>
      <c r="O25" s="236" t="str">
        <f t="shared" si="5"/>
        <v/>
      </c>
      <c r="P25" s="49"/>
      <c r="Q25" s="41"/>
      <c r="R25" s="41"/>
      <c r="S25" s="41"/>
      <c r="T25" s="41"/>
      <c r="U25" s="42" t="str">
        <f t="shared" si="6"/>
        <v/>
      </c>
      <c r="V25" s="236" t="str">
        <f t="shared" si="7"/>
        <v/>
      </c>
    </row>
    <row r="26" spans="1:22" ht="18" customHeight="1">
      <c r="A26" s="74" t="str">
        <f>IF($C$9="Data Not Entered On Set-Up Worksheet","",IF(OR(VLOOKUP($C$9,County_Lookup,12,FALSE)="",VLOOKUP($C$9,County_Lookup,12,FALSE)=0),"",VLOOKUP($C$9,County_Lookup,12,FALSE)))</f>
        <v/>
      </c>
      <c r="B26" s="49"/>
      <c r="C26" s="41"/>
      <c r="D26" s="41"/>
      <c r="E26" s="41"/>
      <c r="F26" s="41"/>
      <c r="G26" s="42" t="str">
        <f t="shared" si="2"/>
        <v/>
      </c>
      <c r="H26" s="236" t="str">
        <f t="shared" si="3"/>
        <v/>
      </c>
      <c r="I26" s="49"/>
      <c r="J26" s="41"/>
      <c r="K26" s="41"/>
      <c r="L26" s="41"/>
      <c r="M26" s="41"/>
      <c r="N26" s="42" t="str">
        <f t="shared" si="4"/>
        <v/>
      </c>
      <c r="O26" s="236" t="str">
        <f t="shared" si="5"/>
        <v/>
      </c>
      <c r="P26" s="49"/>
      <c r="Q26" s="41"/>
      <c r="R26" s="41"/>
      <c r="S26" s="41"/>
      <c r="T26" s="41"/>
      <c r="U26" s="42" t="str">
        <f t="shared" si="6"/>
        <v/>
      </c>
      <c r="V26" s="236" t="str">
        <f t="shared" si="7"/>
        <v/>
      </c>
    </row>
    <row r="27" spans="1:22" ht="18" customHeight="1">
      <c r="A27" s="74" t="str">
        <f>IF($C$9="Data Not Entered On Set-Up Worksheet","",IF(OR(VLOOKUP($C$9,County_Lookup,13,FALSE)="",VLOOKUP($C$9,County_Lookup,13,FALSE)=0),"",VLOOKUP($C$9,County_Lookup,13,FALSE)))</f>
        <v/>
      </c>
      <c r="B27" s="49"/>
      <c r="C27" s="41"/>
      <c r="D27" s="41"/>
      <c r="E27" s="41"/>
      <c r="F27" s="41"/>
      <c r="G27" s="42" t="str">
        <f t="shared" si="2"/>
        <v/>
      </c>
      <c r="H27" s="236" t="str">
        <f t="shared" si="3"/>
        <v/>
      </c>
      <c r="I27" s="49"/>
      <c r="J27" s="41"/>
      <c r="K27" s="41"/>
      <c r="L27" s="41"/>
      <c r="M27" s="41"/>
      <c r="N27" s="42" t="str">
        <f t="shared" si="4"/>
        <v/>
      </c>
      <c r="O27" s="236" t="str">
        <f t="shared" si="5"/>
        <v/>
      </c>
      <c r="P27" s="49"/>
      <c r="Q27" s="41"/>
      <c r="R27" s="41"/>
      <c r="S27" s="41"/>
      <c r="T27" s="41"/>
      <c r="U27" s="42" t="str">
        <f t="shared" si="6"/>
        <v/>
      </c>
      <c r="V27" s="236" t="str">
        <f t="shared" si="7"/>
        <v/>
      </c>
    </row>
    <row r="28" spans="1:22" ht="18" customHeight="1">
      <c r="A28" s="74" t="str">
        <f>IF($C$9="Data Not Entered On Set-Up Worksheet","",IF(OR(VLOOKUP($C$9,County_Lookup,14,FALSE)="",VLOOKUP($C$9,County_Lookup,14,FALSE)=0),"",VLOOKUP($C$9,County_Lookup,14,FALSE)))</f>
        <v/>
      </c>
      <c r="B28" s="49"/>
      <c r="C28" s="41"/>
      <c r="D28" s="41"/>
      <c r="E28" s="41"/>
      <c r="F28" s="41"/>
      <c r="G28" s="42" t="str">
        <f t="shared" si="2"/>
        <v/>
      </c>
      <c r="H28" s="236" t="str">
        <f t="shared" si="3"/>
        <v/>
      </c>
      <c r="I28" s="49"/>
      <c r="J28" s="41"/>
      <c r="K28" s="41"/>
      <c r="L28" s="41"/>
      <c r="M28" s="41"/>
      <c r="N28" s="42" t="str">
        <f t="shared" si="4"/>
        <v/>
      </c>
      <c r="O28" s="236" t="str">
        <f t="shared" si="5"/>
        <v/>
      </c>
      <c r="P28" s="49"/>
      <c r="Q28" s="41"/>
      <c r="R28" s="41"/>
      <c r="S28" s="41"/>
      <c r="T28" s="41"/>
      <c r="U28" s="42" t="str">
        <f t="shared" si="6"/>
        <v/>
      </c>
      <c r="V28" s="236" t="str">
        <f t="shared" si="7"/>
        <v/>
      </c>
    </row>
    <row r="29" spans="1:22" ht="18" customHeight="1">
      <c r="A29" s="73" t="str">
        <f>IF($C$9="Data Not Entered On Set-Up Worksheet","",IF(OR(VLOOKUP($C$9,County_Lookup,15,FALSE)="",VLOOKUP($C$9,County_Lookup,15,FALSE)=0),"",VLOOKUP($C$9,County_Lookup,15,FALSE)))</f>
        <v/>
      </c>
      <c r="B29" s="49"/>
      <c r="C29" s="41"/>
      <c r="D29" s="41"/>
      <c r="E29" s="41"/>
      <c r="F29" s="41"/>
      <c r="G29" s="42" t="str">
        <f t="shared" si="2"/>
        <v/>
      </c>
      <c r="H29" s="236" t="str">
        <f t="shared" si="3"/>
        <v/>
      </c>
      <c r="I29" s="49"/>
      <c r="J29" s="41"/>
      <c r="K29" s="41"/>
      <c r="L29" s="41"/>
      <c r="M29" s="41"/>
      <c r="N29" s="42" t="str">
        <f t="shared" si="4"/>
        <v/>
      </c>
      <c r="O29" s="236" t="str">
        <f t="shared" si="5"/>
        <v/>
      </c>
      <c r="P29" s="49"/>
      <c r="Q29" s="41"/>
      <c r="R29" s="41"/>
      <c r="S29" s="41"/>
      <c r="T29" s="41"/>
      <c r="U29" s="42" t="str">
        <f t="shared" si="6"/>
        <v/>
      </c>
      <c r="V29" s="236" t="str">
        <f t="shared" si="7"/>
        <v/>
      </c>
    </row>
    <row r="30" spans="1:22" ht="18" customHeight="1">
      <c r="A30" s="74" t="str">
        <f>IF($C$9="Data Not Entered On Set-Up Worksheet","",IF(OR(VLOOKUP($C$9,County_Lookup,16,FALSE)="",VLOOKUP($C$9,County_Lookup,16,FALSE)=0),"",VLOOKUP($C$9,County_Lookup,16,FALSE)))</f>
        <v/>
      </c>
      <c r="B30" s="49"/>
      <c r="C30" s="41"/>
      <c r="D30" s="41"/>
      <c r="E30" s="41"/>
      <c r="F30" s="41"/>
      <c r="G30" s="42" t="str">
        <f t="shared" si="2"/>
        <v/>
      </c>
      <c r="H30" s="236" t="str">
        <f t="shared" si="3"/>
        <v/>
      </c>
      <c r="I30" s="49"/>
      <c r="J30" s="41"/>
      <c r="K30" s="41"/>
      <c r="L30" s="41"/>
      <c r="M30" s="41"/>
      <c r="N30" s="42" t="str">
        <f t="shared" si="4"/>
        <v/>
      </c>
      <c r="O30" s="236" t="str">
        <f t="shared" si="5"/>
        <v/>
      </c>
      <c r="P30" s="49"/>
      <c r="Q30" s="41"/>
      <c r="R30" s="41"/>
      <c r="S30" s="41"/>
      <c r="T30" s="41"/>
      <c r="U30" s="42" t="str">
        <f t="shared" si="6"/>
        <v/>
      </c>
      <c r="V30" s="236" t="str">
        <f t="shared" si="7"/>
        <v/>
      </c>
    </row>
    <row r="31" spans="1:22" ht="18" customHeight="1">
      <c r="A31" s="74" t="str">
        <f>IF($C$9="Data Not Entered On Set-Up Worksheet","",IF(OR(VLOOKUP($C$9,County_Lookup,17,FALSE)="",VLOOKUP($C$9,County_Lookup,17,FALSE)=0),"",VLOOKUP($C$9,County_Lookup,17,FALSE)))</f>
        <v/>
      </c>
      <c r="B31" s="49"/>
      <c r="C31" s="41"/>
      <c r="D31" s="41"/>
      <c r="E31" s="41"/>
      <c r="F31" s="41"/>
      <c r="G31" s="42" t="str">
        <f t="shared" si="2"/>
        <v/>
      </c>
      <c r="H31" s="236" t="str">
        <f t="shared" si="3"/>
        <v/>
      </c>
      <c r="I31" s="49"/>
      <c r="J31" s="41"/>
      <c r="K31" s="41"/>
      <c r="L31" s="41"/>
      <c r="M31" s="41"/>
      <c r="N31" s="42" t="str">
        <f t="shared" si="4"/>
        <v/>
      </c>
      <c r="O31" s="236" t="str">
        <f t="shared" si="5"/>
        <v/>
      </c>
      <c r="P31" s="49"/>
      <c r="Q31" s="41"/>
      <c r="R31" s="41"/>
      <c r="S31" s="41"/>
      <c r="T31" s="41"/>
      <c r="U31" s="42" t="str">
        <f t="shared" si="6"/>
        <v/>
      </c>
      <c r="V31" s="236" t="str">
        <f t="shared" si="7"/>
        <v/>
      </c>
    </row>
    <row r="32" spans="1:22" ht="18" customHeight="1">
      <c r="A32" s="74" t="str">
        <f>IF($C$9="Data Not Entered On Set-Up Worksheet","",IF(OR(VLOOKUP($C$9,County_Lookup,18,FALSE)="",VLOOKUP($C$9,County_Lookup,18,FALSE)=0),"",VLOOKUP($C$9,County_Lookup,18,FALSE)))</f>
        <v/>
      </c>
      <c r="B32" s="49"/>
      <c r="C32" s="41"/>
      <c r="D32" s="41"/>
      <c r="E32" s="41"/>
      <c r="F32" s="41"/>
      <c r="G32" s="42" t="str">
        <f t="shared" si="2"/>
        <v/>
      </c>
      <c r="H32" s="236" t="str">
        <f t="shared" si="3"/>
        <v/>
      </c>
      <c r="I32" s="49"/>
      <c r="J32" s="41"/>
      <c r="K32" s="41"/>
      <c r="L32" s="41"/>
      <c r="M32" s="41"/>
      <c r="N32" s="42" t="str">
        <f t="shared" si="4"/>
        <v/>
      </c>
      <c r="O32" s="236" t="str">
        <f t="shared" si="5"/>
        <v/>
      </c>
      <c r="P32" s="49"/>
      <c r="Q32" s="41"/>
      <c r="R32" s="41"/>
      <c r="S32" s="41"/>
      <c r="T32" s="41"/>
      <c r="U32" s="42" t="str">
        <f t="shared" si="6"/>
        <v/>
      </c>
      <c r="V32" s="236" t="str">
        <f t="shared" si="7"/>
        <v/>
      </c>
    </row>
    <row r="33" spans="1:22" ht="18" customHeight="1">
      <c r="A33" s="74" t="str">
        <f>IF($C$9="Data Not Entered On Set-Up Worksheet","",IF(OR(VLOOKUP($C$9,County_Lookup,19,FALSE)="",VLOOKUP($C$9,County_Lookup,19,FALSE)=0),"",VLOOKUP($C$9,County_Lookup,19,FALSE)))</f>
        <v/>
      </c>
      <c r="B33" s="49"/>
      <c r="C33" s="41"/>
      <c r="D33" s="41"/>
      <c r="E33" s="41"/>
      <c r="F33" s="41"/>
      <c r="G33" s="42" t="str">
        <f t="shared" si="2"/>
        <v/>
      </c>
      <c r="H33" s="236" t="str">
        <f t="shared" si="3"/>
        <v/>
      </c>
      <c r="I33" s="49"/>
      <c r="J33" s="41"/>
      <c r="K33" s="41"/>
      <c r="L33" s="41"/>
      <c r="M33" s="41"/>
      <c r="N33" s="42" t="str">
        <f t="shared" si="4"/>
        <v/>
      </c>
      <c r="O33" s="236" t="str">
        <f t="shared" si="5"/>
        <v/>
      </c>
      <c r="P33" s="49"/>
      <c r="Q33" s="41"/>
      <c r="R33" s="41"/>
      <c r="S33" s="41"/>
      <c r="T33" s="41"/>
      <c r="U33" s="42" t="str">
        <f t="shared" si="6"/>
        <v/>
      </c>
      <c r="V33" s="236" t="str">
        <f t="shared" si="7"/>
        <v/>
      </c>
    </row>
    <row r="34" spans="1:22" ht="18" customHeight="1">
      <c r="A34" s="74" t="str">
        <f>IF($C$9="Data Not Entered On Set-Up Worksheet","",IF(OR(VLOOKUP($C$9,County_Lookup,20,FALSE)="",VLOOKUP($C$9,County_Lookup,20,FALSE)=0),"",VLOOKUP($C$9,County_Lookup,20,FALSE)))</f>
        <v/>
      </c>
      <c r="B34" s="49"/>
      <c r="C34" s="41"/>
      <c r="D34" s="41"/>
      <c r="E34" s="41"/>
      <c r="F34" s="41"/>
      <c r="G34" s="42" t="str">
        <f t="shared" si="2"/>
        <v/>
      </c>
      <c r="H34" s="236" t="str">
        <f t="shared" si="3"/>
        <v/>
      </c>
      <c r="I34" s="49"/>
      <c r="J34" s="41"/>
      <c r="K34" s="41"/>
      <c r="L34" s="41"/>
      <c r="M34" s="41"/>
      <c r="N34" s="42" t="str">
        <f t="shared" si="4"/>
        <v/>
      </c>
      <c r="O34" s="236" t="str">
        <f t="shared" si="5"/>
        <v/>
      </c>
      <c r="P34" s="49"/>
      <c r="Q34" s="41"/>
      <c r="R34" s="41"/>
      <c r="S34" s="41"/>
      <c r="T34" s="41"/>
      <c r="U34" s="42" t="str">
        <f t="shared" si="6"/>
        <v/>
      </c>
      <c r="V34" s="236" t="str">
        <f t="shared" si="7"/>
        <v/>
      </c>
    </row>
    <row r="35" spans="1:22" ht="18" customHeight="1">
      <c r="A35" s="74" t="str">
        <f>IF($C$9="Data Not Entered On Set-Up Worksheet","",IF(OR(VLOOKUP($C$9,County_Lookup,21,FALSE)="",VLOOKUP($C$9,County_Lookup,21,FALSE)=0),"",VLOOKUP($C$9,County_Lookup,21,FALSE)))</f>
        <v/>
      </c>
      <c r="B35" s="49"/>
      <c r="C35" s="41"/>
      <c r="D35" s="41"/>
      <c r="E35" s="41"/>
      <c r="F35" s="41"/>
      <c r="G35" s="42" t="str">
        <f t="shared" si="2"/>
        <v/>
      </c>
      <c r="H35" s="236" t="str">
        <f t="shared" si="3"/>
        <v/>
      </c>
      <c r="I35" s="49"/>
      <c r="J35" s="41"/>
      <c r="K35" s="41"/>
      <c r="L35" s="41"/>
      <c r="M35" s="41"/>
      <c r="N35" s="42" t="str">
        <f t="shared" si="4"/>
        <v/>
      </c>
      <c r="O35" s="236" t="str">
        <f t="shared" si="5"/>
        <v/>
      </c>
      <c r="P35" s="49"/>
      <c r="Q35" s="41"/>
      <c r="R35" s="41"/>
      <c r="S35" s="41"/>
      <c r="T35" s="41"/>
      <c r="U35" s="42" t="str">
        <f t="shared" si="6"/>
        <v/>
      </c>
      <c r="V35" s="236" t="str">
        <f t="shared" si="7"/>
        <v/>
      </c>
    </row>
    <row r="36" spans="1:22" ht="18" customHeight="1">
      <c r="A36" s="73" t="str">
        <f>IF($C$9="Data Not Entered On Set-Up Worksheet","",IF(OR(VLOOKUP($C$9,County_Lookup,22,FALSE)="",VLOOKUP($C$9,County_Lookup,22,FALSE)=0),"",VLOOKUP($C$9,County_Lookup,22,FALSE)))</f>
        <v/>
      </c>
      <c r="B36" s="49"/>
      <c r="C36" s="41"/>
      <c r="D36" s="41"/>
      <c r="E36" s="41"/>
      <c r="F36" s="41"/>
      <c r="G36" s="42" t="str">
        <f t="shared" si="2"/>
        <v/>
      </c>
      <c r="H36" s="236" t="str">
        <f t="shared" si="3"/>
        <v/>
      </c>
      <c r="I36" s="49"/>
      <c r="J36" s="41"/>
      <c r="K36" s="41"/>
      <c r="L36" s="41"/>
      <c r="M36" s="41"/>
      <c r="N36" s="42" t="str">
        <f t="shared" si="4"/>
        <v/>
      </c>
      <c r="O36" s="236" t="str">
        <f t="shared" si="5"/>
        <v/>
      </c>
      <c r="P36" s="49"/>
      <c r="Q36" s="41"/>
      <c r="R36" s="41"/>
      <c r="S36" s="41"/>
      <c r="T36" s="41"/>
      <c r="U36" s="42" t="str">
        <f t="shared" si="6"/>
        <v/>
      </c>
      <c r="V36" s="236" t="str">
        <f t="shared" si="7"/>
        <v/>
      </c>
    </row>
    <row r="37" spans="1:22" ht="18" customHeight="1">
      <c r="A37" s="74" t="str">
        <f>IF($C$9="Data Not Entered On Set-Up Worksheet","",IF(OR(VLOOKUP($C$9,County_Lookup,23,FALSE)="",VLOOKUP($C$9,County_Lookup,23,FALSE)=0),"",VLOOKUP($C$9,County_Lookup,23,FALSE)))</f>
        <v/>
      </c>
      <c r="B37" s="49"/>
      <c r="C37" s="41"/>
      <c r="D37" s="41"/>
      <c r="E37" s="41"/>
      <c r="F37" s="41"/>
      <c r="G37" s="42" t="str">
        <f t="shared" si="2"/>
        <v/>
      </c>
      <c r="H37" s="236" t="str">
        <f t="shared" si="3"/>
        <v/>
      </c>
      <c r="I37" s="49"/>
      <c r="J37" s="41"/>
      <c r="K37" s="41"/>
      <c r="L37" s="41"/>
      <c r="M37" s="41"/>
      <c r="N37" s="42" t="str">
        <f t="shared" si="4"/>
        <v/>
      </c>
      <c r="O37" s="236" t="str">
        <f t="shared" si="5"/>
        <v/>
      </c>
      <c r="P37" s="49"/>
      <c r="Q37" s="41"/>
      <c r="R37" s="41"/>
      <c r="S37" s="41"/>
      <c r="T37" s="41"/>
      <c r="U37" s="42" t="str">
        <f t="shared" si="6"/>
        <v/>
      </c>
      <c r="V37" s="236" t="str">
        <f t="shared" si="7"/>
        <v/>
      </c>
    </row>
    <row r="38" spans="1:22" ht="18" customHeight="1">
      <c r="A38" s="74" t="str">
        <f>IF($C$9="Data Not Entered On Set-Up Worksheet","",IF(OR(VLOOKUP($C$9,County_Lookup,24,FALSE)="",VLOOKUP($C$9,County_Lookup,24,FALSE)=0),"",VLOOKUP($C$9,County_Lookup,24,FALSE)))</f>
        <v/>
      </c>
      <c r="B38" s="49"/>
      <c r="C38" s="41"/>
      <c r="D38" s="41"/>
      <c r="E38" s="41"/>
      <c r="F38" s="41"/>
      <c r="G38" s="42" t="str">
        <f t="shared" ref="G38:G41" si="8">IF($A38="","",IF($F38=0,0,B38/$F38))</f>
        <v/>
      </c>
      <c r="H38" s="236" t="str">
        <f t="shared" ref="H38:H41" si="9">IF($A38="","",IF($F38=0,0,C38/$F38))</f>
        <v/>
      </c>
      <c r="I38" s="49"/>
      <c r="J38" s="41"/>
      <c r="K38" s="41"/>
      <c r="L38" s="41"/>
      <c r="M38" s="41"/>
      <c r="N38" s="42" t="str">
        <f t="shared" ref="N38:N41" si="10">IF($A38="","",IF($M38=0,0,I38/$M38))</f>
        <v/>
      </c>
      <c r="O38" s="236" t="str">
        <f t="shared" ref="O38:O41" si="11">IF($A38="","",IF($M38=0,0,J38/$M38))</f>
        <v/>
      </c>
      <c r="P38" s="49"/>
      <c r="Q38" s="41"/>
      <c r="R38" s="41"/>
      <c r="S38" s="41"/>
      <c r="T38" s="41"/>
      <c r="U38" s="42" t="str">
        <f t="shared" ref="U38:U41" si="12">IF($A38="","",IF($T38=0,0,P38/$T38))</f>
        <v/>
      </c>
      <c r="V38" s="236" t="str">
        <f t="shared" ref="V38:V41" si="13">IF($A38="","",IF($T38=0,0,Q38/$T38))</f>
        <v/>
      </c>
    </row>
    <row r="39" spans="1:22" ht="18" customHeight="1">
      <c r="A39" s="74" t="str">
        <f>IF($C$9="Data Not Entered On Set-Up Worksheet","",IF(OR(VLOOKUP($C$9,County_Lookup,25,FALSE)="",VLOOKUP($C$9,County_Lookup,25,FALSE)=0),"",VLOOKUP($C$9,County_Lookup,25,FALSE)))</f>
        <v/>
      </c>
      <c r="B39" s="49"/>
      <c r="C39" s="41"/>
      <c r="D39" s="41"/>
      <c r="E39" s="41"/>
      <c r="F39" s="41"/>
      <c r="G39" s="42" t="str">
        <f t="shared" si="8"/>
        <v/>
      </c>
      <c r="H39" s="236" t="str">
        <f t="shared" si="9"/>
        <v/>
      </c>
      <c r="I39" s="49"/>
      <c r="J39" s="41"/>
      <c r="K39" s="41"/>
      <c r="L39" s="41"/>
      <c r="M39" s="41"/>
      <c r="N39" s="42" t="str">
        <f t="shared" si="10"/>
        <v/>
      </c>
      <c r="O39" s="236" t="str">
        <f t="shared" si="11"/>
        <v/>
      </c>
      <c r="P39" s="49"/>
      <c r="Q39" s="41"/>
      <c r="R39" s="41"/>
      <c r="S39" s="41"/>
      <c r="T39" s="41"/>
      <c r="U39" s="42" t="str">
        <f t="shared" si="12"/>
        <v/>
      </c>
      <c r="V39" s="236" t="str">
        <f t="shared" si="13"/>
        <v/>
      </c>
    </row>
    <row r="40" spans="1:22" ht="18" customHeight="1">
      <c r="A40" s="74" t="str">
        <f>IF($C$9="Data Not Entered On Set-Up Worksheet","",IF(OR(VLOOKUP($C$9,County_Lookup,26,FALSE)="",VLOOKUP($C$9,County_Lookup,26,FALSE)=0),"",VLOOKUP($C$9,County_Lookup,26,FALSE)))</f>
        <v/>
      </c>
      <c r="B40" s="49"/>
      <c r="C40" s="41"/>
      <c r="D40" s="41"/>
      <c r="E40" s="41"/>
      <c r="F40" s="41"/>
      <c r="G40" s="42" t="str">
        <f t="shared" si="8"/>
        <v/>
      </c>
      <c r="H40" s="236" t="str">
        <f t="shared" si="9"/>
        <v/>
      </c>
      <c r="I40" s="49"/>
      <c r="J40" s="41"/>
      <c r="K40" s="41"/>
      <c r="L40" s="41"/>
      <c r="M40" s="41"/>
      <c r="N40" s="42" t="str">
        <f t="shared" si="10"/>
        <v/>
      </c>
      <c r="O40" s="236" t="str">
        <f t="shared" si="11"/>
        <v/>
      </c>
      <c r="P40" s="49"/>
      <c r="Q40" s="41"/>
      <c r="R40" s="41"/>
      <c r="S40" s="41"/>
      <c r="T40" s="41"/>
      <c r="U40" s="42" t="str">
        <f t="shared" si="12"/>
        <v/>
      </c>
      <c r="V40" s="236" t="str">
        <f t="shared" si="13"/>
        <v/>
      </c>
    </row>
    <row r="41" spans="1:22" ht="18" customHeight="1">
      <c r="A41" s="74" t="str">
        <f>IF($C$9="Data Not Entered On Set-Up Worksheet","",IF(OR(VLOOKUP($C$9,County_Lookup,27,FALSE)="",VLOOKUP($C$9,County_Lookup,27,FALSE)=0),"",VLOOKUP($C$9,County_Lookup,27,FALSE)))</f>
        <v/>
      </c>
      <c r="B41" s="49"/>
      <c r="C41" s="41"/>
      <c r="D41" s="41"/>
      <c r="E41" s="41"/>
      <c r="F41" s="41"/>
      <c r="G41" s="42" t="str">
        <f t="shared" si="8"/>
        <v/>
      </c>
      <c r="H41" s="236" t="str">
        <f t="shared" si="9"/>
        <v/>
      </c>
      <c r="I41" s="49"/>
      <c r="J41" s="41"/>
      <c r="K41" s="41"/>
      <c r="L41" s="41"/>
      <c r="M41" s="41"/>
      <c r="N41" s="42" t="str">
        <f t="shared" si="10"/>
        <v/>
      </c>
      <c r="O41" s="236" t="str">
        <f t="shared" si="11"/>
        <v/>
      </c>
      <c r="P41" s="49"/>
      <c r="Q41" s="41"/>
      <c r="R41" s="41"/>
      <c r="S41" s="41"/>
      <c r="T41" s="41"/>
      <c r="U41" s="42" t="str">
        <f t="shared" si="12"/>
        <v/>
      </c>
      <c r="V41" s="236" t="str">
        <f t="shared" si="13"/>
        <v/>
      </c>
    </row>
    <row r="42" spans="1:22" ht="18" customHeight="1">
      <c r="A42" s="74" t="str">
        <f>IF($C$9="Data Not Entered On Set-Up Worksheet","",IF(OR(VLOOKUP($C$9,County_Lookup,28,FALSE)="",VLOOKUP($C$9,County_Lookup,28,FALSE)=0),"",VLOOKUP($C$9,County_Lookup,28,FALSE)))</f>
        <v/>
      </c>
      <c r="B42" s="49"/>
      <c r="C42" s="41"/>
      <c r="D42" s="41"/>
      <c r="E42" s="41"/>
      <c r="F42" s="41"/>
      <c r="G42" s="42" t="str">
        <f t="shared" si="2"/>
        <v/>
      </c>
      <c r="H42" s="236" t="str">
        <f t="shared" si="3"/>
        <v/>
      </c>
      <c r="I42" s="49"/>
      <c r="J42" s="41"/>
      <c r="K42" s="41"/>
      <c r="L42" s="41"/>
      <c r="M42" s="41"/>
      <c r="N42" s="42" t="str">
        <f t="shared" si="4"/>
        <v/>
      </c>
      <c r="O42" s="236" t="str">
        <f t="shared" si="5"/>
        <v/>
      </c>
      <c r="P42" s="49"/>
      <c r="Q42" s="41"/>
      <c r="R42" s="41"/>
      <c r="S42" s="41"/>
      <c r="T42" s="41"/>
      <c r="U42" s="42" t="str">
        <f t="shared" si="6"/>
        <v/>
      </c>
      <c r="V42" s="236" t="str">
        <f t="shared" si="7"/>
        <v/>
      </c>
    </row>
    <row r="43" spans="1:22" ht="18" customHeight="1" thickBot="1">
      <c r="A43" s="75" t="s">
        <v>0</v>
      </c>
      <c r="B43" s="237">
        <f>SUM(B16:B42)</f>
        <v>0</v>
      </c>
      <c r="C43" s="238">
        <f t="shared" ref="C43:F43" si="14">SUM(C16:C42)</f>
        <v>0</v>
      </c>
      <c r="D43" s="238">
        <f t="shared" si="14"/>
        <v>0</v>
      </c>
      <c r="E43" s="238">
        <f t="shared" si="14"/>
        <v>0</v>
      </c>
      <c r="F43" s="238">
        <f t="shared" si="14"/>
        <v>0</v>
      </c>
      <c r="G43" s="242">
        <f t="shared" si="2"/>
        <v>0</v>
      </c>
      <c r="H43" s="243">
        <f t="shared" si="3"/>
        <v>0</v>
      </c>
      <c r="I43" s="237">
        <f>SUM(I16:I42)</f>
        <v>0</v>
      </c>
      <c r="J43" s="238">
        <f t="shared" ref="J43" si="15">SUM(J16:J42)</f>
        <v>0</v>
      </c>
      <c r="K43" s="238">
        <f t="shared" ref="K43" si="16">SUM(K16:K42)</f>
        <v>0</v>
      </c>
      <c r="L43" s="238">
        <f t="shared" ref="L43" si="17">SUM(L16:L42)</f>
        <v>0</v>
      </c>
      <c r="M43" s="238">
        <f t="shared" ref="M43" si="18">SUM(M16:M42)</f>
        <v>0</v>
      </c>
      <c r="N43" s="242">
        <f t="shared" si="4"/>
        <v>0</v>
      </c>
      <c r="O43" s="243">
        <f t="shared" si="5"/>
        <v>0</v>
      </c>
      <c r="P43" s="237">
        <f>SUM(P16:P42)</f>
        <v>0</v>
      </c>
      <c r="Q43" s="238">
        <f t="shared" ref="Q43" si="19">SUM(Q16:Q42)</f>
        <v>0</v>
      </c>
      <c r="R43" s="238">
        <f t="shared" ref="R43" si="20">SUM(R16:R42)</f>
        <v>0</v>
      </c>
      <c r="S43" s="238">
        <f t="shared" ref="S43" si="21">SUM(S16:S42)</f>
        <v>0</v>
      </c>
      <c r="T43" s="238">
        <f t="shared" ref="T43" si="22">SUM(T16:T42)</f>
        <v>0</v>
      </c>
      <c r="U43" s="242">
        <f t="shared" si="6"/>
        <v>0</v>
      </c>
      <c r="V43" s="243">
        <f t="shared" si="7"/>
        <v>0</v>
      </c>
    </row>
    <row r="44" spans="1:22">
      <c r="A44" s="51"/>
      <c r="B44" s="22" t="s">
        <v>323</v>
      </c>
      <c r="I44" s="51" t="s">
        <v>323</v>
      </c>
      <c r="P44" s="51" t="s">
        <v>323</v>
      </c>
    </row>
    <row r="46" spans="1:22">
      <c r="B46" s="57" t="s">
        <v>376</v>
      </c>
      <c r="I46" s="57" t="s">
        <v>377</v>
      </c>
      <c r="P46" s="57" t="s">
        <v>378</v>
      </c>
    </row>
  </sheetData>
  <sheetProtection sheet="1" objects="1" scenarios="1"/>
  <conditionalFormatting sqref="C3:C4">
    <cfRule type="expression" dxfId="410" priority="39">
      <formula>C3="Data Not Entered On Set-Up Worksheet"</formula>
    </cfRule>
  </conditionalFormatting>
  <conditionalFormatting sqref="C9">
    <cfRule type="expression" dxfId="409" priority="38">
      <formula>C9="Data Not Entered On Set-Up Worksheet"</formula>
    </cfRule>
  </conditionalFormatting>
  <conditionalFormatting sqref="B12">
    <cfRule type="expression" dxfId="408" priority="33">
      <formula>B12="Data Not Entered On Set-Up Worksheet"</formula>
    </cfRule>
  </conditionalFormatting>
  <conditionalFormatting sqref="C11">
    <cfRule type="expression" dxfId="407" priority="26">
      <formula>C11="Data Not Entered On Set-Up Worksheet"</formula>
    </cfRule>
  </conditionalFormatting>
  <conditionalFormatting sqref="B16:F38 I16:M38 P16:T38 P42:T42 I42:M42 B42:F42">
    <cfRule type="expression" dxfId="406" priority="10">
      <formula>AND($A16&lt;&gt;"",XER16="")</formula>
    </cfRule>
  </conditionalFormatting>
  <conditionalFormatting sqref="E11">
    <cfRule type="expression" dxfId="405" priority="9">
      <formula>E11="Data Not Entered On Set-Up Worksheet"</formula>
    </cfRule>
  </conditionalFormatting>
  <conditionalFormatting sqref="B16:F38 B42:F42">
    <cfRule type="expression" dxfId="404" priority="7">
      <formula>$A16="Other"</formula>
    </cfRule>
  </conditionalFormatting>
  <conditionalFormatting sqref="P39:T39 I39:M39 B39:F39">
    <cfRule type="expression" dxfId="403" priority="6">
      <formula>AND($A39&lt;&gt;"",XER39="")</formula>
    </cfRule>
  </conditionalFormatting>
  <conditionalFormatting sqref="B39:F39">
    <cfRule type="expression" dxfId="402" priority="5">
      <formula>$A39="Other"</formula>
    </cfRule>
  </conditionalFormatting>
  <conditionalFormatting sqref="P40:T40 I40:M40 B40:F40">
    <cfRule type="expression" dxfId="401" priority="4">
      <formula>AND($A40&lt;&gt;"",XER40="")</formula>
    </cfRule>
  </conditionalFormatting>
  <conditionalFormatting sqref="B40:F40">
    <cfRule type="expression" dxfId="400" priority="3">
      <formula>$A40="Other"</formula>
    </cfRule>
  </conditionalFormatting>
  <conditionalFormatting sqref="P41:T41 I41:M41 B41:F41">
    <cfRule type="expression" dxfId="399" priority="2">
      <formula>AND($A41&lt;&gt;"",XER41="")</formula>
    </cfRule>
  </conditionalFormatting>
  <conditionalFormatting sqref="B41:F41">
    <cfRule type="expression" dxfId="398" priority="1">
      <formula>$A41="Other"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pageSetUpPr fitToPage="1"/>
  </sheetPr>
  <dimension ref="A1:H21"/>
  <sheetViews>
    <sheetView showGridLines="0" workbookViewId="0">
      <selection activeCell="B19" sqref="B19"/>
    </sheetView>
  </sheetViews>
  <sheetFormatPr defaultRowHeight="12.75"/>
  <cols>
    <col min="1" max="7" width="15.7109375" style="22" customWidth="1"/>
    <col min="8" max="16384" width="9.140625" style="22"/>
  </cols>
  <sheetData>
    <row r="1" spans="1:8" ht="15" customHeight="1">
      <c r="A1" s="35" t="s">
        <v>23</v>
      </c>
    </row>
    <row r="2" spans="1:8" ht="15" customHeight="1">
      <c r="A2" s="35" t="s">
        <v>187</v>
      </c>
    </row>
    <row r="3" spans="1:8" ht="15" customHeight="1">
      <c r="A3" s="30" t="s">
        <v>185</v>
      </c>
      <c r="C3" s="138">
        <f>IF('Set-Up Worksheet'!F3="","Data Not Entered On Set-Up Worksheet",'Set-Up Worksheet'!F3)</f>
        <v>2021</v>
      </c>
    </row>
    <row r="4" spans="1:8" ht="15" customHeight="1">
      <c r="A4" s="30" t="s">
        <v>186</v>
      </c>
      <c r="C4" s="138" t="str">
        <f>IF('Set-Up Worksheet'!F4="","Data Not Entered On Set-Up Worksheet",'Set-Up Worksheet'!F4)</f>
        <v>1st Quarter</v>
      </c>
    </row>
    <row r="5" spans="1:8" ht="15" customHeight="1">
      <c r="C5" s="32"/>
    </row>
    <row r="6" spans="1:8" ht="15" customHeight="1">
      <c r="A6" s="30" t="s">
        <v>261</v>
      </c>
      <c r="C6" s="32"/>
    </row>
    <row r="7" spans="1:8" ht="15" customHeight="1">
      <c r="A7" s="30" t="s">
        <v>324</v>
      </c>
      <c r="C7" s="32"/>
    </row>
    <row r="8" spans="1:8" ht="15" customHeight="1">
      <c r="A8" s="30"/>
      <c r="C8" s="32"/>
    </row>
    <row r="9" spans="1:8" ht="15" customHeight="1">
      <c r="A9" s="30" t="s">
        <v>24</v>
      </c>
      <c r="C9" s="38" t="str">
        <f>IF('Set-Up Worksheet'!E7="","Data Not Entered On Set-Up Worksheet",'Set-Up Worksheet'!E7)</f>
        <v>Data Not Entered On Set-Up Worksheet</v>
      </c>
    </row>
    <row r="10" spans="1:8" ht="15" customHeight="1">
      <c r="A10" s="30" t="s">
        <v>9</v>
      </c>
      <c r="C10" s="32" t="s">
        <v>10</v>
      </c>
    </row>
    <row r="11" spans="1:8" ht="15" customHeight="1">
      <c r="A11" s="30" t="s">
        <v>188</v>
      </c>
      <c r="C11" s="39" t="str">
        <f>IF(C4="Data Not Entered On Set-Up Worksheet","Data Not Entered On Set-Up Worksheet",IF(C4="1st Quarter",'Report Schedule'!D40,IF(C4="2nd Quarter",'Report Schedule'!E40,IF(C4="3rd Quarter",'Report Schedule'!F40,IF(C4="4th Quarter",'Report Schedule'!G40,"")))))</f>
        <v>Apr - Jun 2020</v>
      </c>
      <c r="E11" s="51"/>
    </row>
    <row r="14" spans="1:8" ht="193.5" customHeight="1">
      <c r="A14" s="443" t="s">
        <v>351</v>
      </c>
      <c r="B14" s="443"/>
      <c r="C14" s="443"/>
      <c r="D14" s="443"/>
      <c r="E14" s="443"/>
      <c r="F14" s="443"/>
      <c r="G14" s="443"/>
      <c r="H14" s="46"/>
    </row>
    <row r="15" spans="1:8">
      <c r="A15" s="46"/>
      <c r="B15" s="46"/>
      <c r="C15" s="46"/>
      <c r="D15" s="46"/>
      <c r="E15" s="46"/>
      <c r="F15" s="46"/>
      <c r="G15" s="46"/>
      <c r="H15" s="46"/>
    </row>
    <row r="17" spans="2:6">
      <c r="B17" s="226" t="s">
        <v>321</v>
      </c>
      <c r="C17" s="227"/>
      <c r="D17" s="227"/>
      <c r="E17" s="228"/>
    </row>
    <row r="18" spans="2:6" ht="15" customHeight="1">
      <c r="B18" s="225" t="s">
        <v>318</v>
      </c>
      <c r="C18" s="225" t="s">
        <v>319</v>
      </c>
      <c r="D18" s="225" t="s">
        <v>350</v>
      </c>
      <c r="E18" s="232" t="s">
        <v>322</v>
      </c>
      <c r="F18" s="231" t="s">
        <v>320</v>
      </c>
    </row>
    <row r="19" spans="2:6" ht="20.100000000000001" customHeight="1">
      <c r="B19" s="229"/>
      <c r="C19" s="229"/>
      <c r="D19" s="229"/>
      <c r="E19" s="229"/>
      <c r="F19" s="230"/>
    </row>
    <row r="21" spans="2:6">
      <c r="B21" s="51" t="s">
        <v>323</v>
      </c>
    </row>
  </sheetData>
  <sheetProtection sheet="1" objects="1" scenarios="1"/>
  <mergeCells count="1">
    <mergeCell ref="A14:G14"/>
  </mergeCells>
  <conditionalFormatting sqref="C3:C4">
    <cfRule type="expression" dxfId="397" priority="3">
      <formula>C3="Data Not Entered On Set-Up Worksheet"</formula>
    </cfRule>
  </conditionalFormatting>
  <conditionalFormatting sqref="C9">
    <cfRule type="expression" dxfId="396" priority="2">
      <formula>C9="Data Not Entered On Set-Up Worksheet"</formula>
    </cfRule>
  </conditionalFormatting>
  <conditionalFormatting sqref="C11">
    <cfRule type="expression" dxfId="395"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pageSetUpPr fitToPage="1"/>
  </sheetPr>
  <dimension ref="A1:V116"/>
  <sheetViews>
    <sheetView showGridLines="0" workbookViewId="0">
      <selection activeCell="B18" sqref="B18"/>
    </sheetView>
  </sheetViews>
  <sheetFormatPr defaultRowHeight="12.75"/>
  <cols>
    <col min="1" max="1" width="22.42578125" style="22" customWidth="1"/>
    <col min="2" max="22" width="16.7109375" style="22" customWidth="1"/>
    <col min="23" max="16384" width="9.140625" style="22"/>
  </cols>
  <sheetData>
    <row r="1" spans="1:22" ht="15" customHeight="1">
      <c r="A1" s="35" t="s">
        <v>23</v>
      </c>
      <c r="I1" s="35" t="s">
        <v>254</v>
      </c>
      <c r="P1" s="35" t="s">
        <v>254</v>
      </c>
    </row>
    <row r="2" spans="1:22" ht="15" customHeight="1">
      <c r="A2" s="35" t="s">
        <v>187</v>
      </c>
      <c r="I2" s="247" t="s">
        <v>255</v>
      </c>
      <c r="P2" s="247" t="s">
        <v>255</v>
      </c>
    </row>
    <row r="3" spans="1:22" ht="15" customHeight="1">
      <c r="A3" s="30" t="s">
        <v>185</v>
      </c>
      <c r="C3" s="138">
        <f>IF('Set-Up Worksheet'!F3="","Data Not Entered On Set-Up Worksheet",'Set-Up Worksheet'!F3)</f>
        <v>2021</v>
      </c>
      <c r="J3" s="246">
        <f t="shared" ref="J3:J11" si="0">C3</f>
        <v>2021</v>
      </c>
      <c r="K3" s="244"/>
      <c r="L3" s="244"/>
      <c r="Q3" s="246">
        <f t="shared" ref="Q3:Q11" si="1">C3</f>
        <v>2021</v>
      </c>
    </row>
    <row r="4" spans="1:22" ht="15" customHeight="1">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c r="A5" s="30"/>
      <c r="C5" s="32"/>
      <c r="D5" s="32"/>
      <c r="E5" s="32"/>
      <c r="J5" s="244"/>
      <c r="K5" s="244"/>
      <c r="L5" s="244"/>
      <c r="Q5" s="244"/>
    </row>
    <row r="6" spans="1:22" ht="15" customHeight="1">
      <c r="A6" s="30" t="s">
        <v>261</v>
      </c>
      <c r="C6" s="32"/>
      <c r="D6" s="32"/>
      <c r="E6" s="32"/>
      <c r="J6" s="244"/>
      <c r="K6" s="244"/>
      <c r="L6" s="244"/>
      <c r="Q6" s="244"/>
    </row>
    <row r="7" spans="1:22" ht="15" customHeight="1">
      <c r="A7" s="30" t="s">
        <v>329</v>
      </c>
      <c r="C7" s="32"/>
      <c r="D7" s="32"/>
      <c r="E7" s="32"/>
      <c r="I7" s="30" t="s">
        <v>330</v>
      </c>
      <c r="J7" s="244"/>
      <c r="K7" s="244"/>
      <c r="L7" s="244"/>
      <c r="P7" s="30" t="s">
        <v>330</v>
      </c>
      <c r="Q7" s="244"/>
    </row>
    <row r="8" spans="1:22" ht="15" customHeight="1">
      <c r="A8" s="30"/>
      <c r="C8" s="32"/>
      <c r="D8" s="32"/>
      <c r="E8" s="32"/>
      <c r="J8" s="244"/>
      <c r="K8" s="244"/>
      <c r="L8" s="244"/>
      <c r="Q8" s="244"/>
    </row>
    <row r="9" spans="1:22" ht="15" customHeight="1">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c r="A10" s="30" t="s">
        <v>9</v>
      </c>
      <c r="C10" s="32" t="s">
        <v>10</v>
      </c>
      <c r="J10" s="244" t="str">
        <f t="shared" si="0"/>
        <v>Behavioral Health</v>
      </c>
      <c r="K10" s="244"/>
      <c r="L10" s="244"/>
      <c r="Q10" s="244" t="str">
        <f t="shared" si="1"/>
        <v>Behavioral Health</v>
      </c>
    </row>
    <row r="11" spans="1:22" ht="15" customHeight="1">
      <c r="A11" s="30" t="s">
        <v>188</v>
      </c>
      <c r="C11" s="39" t="str">
        <f>IF(C4="Data Not Entered On Set-Up Worksheet","Data Not Entered On Set-Up Worksheet",IF(C4="1st Quarter",'Report Schedule'!D43,IF(C4="2nd Quarter",'Report Schedule'!E43,IF(C4="3rd Quarter",'Report Schedule'!F43,IF(C4="4th Quarter",'Report Schedule'!G43,"")))))</f>
        <v>Apr - Jun 2020</v>
      </c>
      <c r="E11" s="76" t="s">
        <v>35</v>
      </c>
      <c r="J11" s="244" t="str">
        <f t="shared" si="0"/>
        <v>Apr - Jun 2020</v>
      </c>
      <c r="K11" s="244"/>
      <c r="L11" s="245" t="s">
        <v>35</v>
      </c>
      <c r="Q11" s="244" t="str">
        <f t="shared" si="1"/>
        <v>Apr - Jun 2020</v>
      </c>
      <c r="S11" s="245" t="s">
        <v>35</v>
      </c>
    </row>
    <row r="12" spans="1:22" ht="15" customHeight="1">
      <c r="A12" s="30"/>
      <c r="B12" s="39"/>
    </row>
    <row r="13" spans="1:22" ht="20.100000000000001" customHeight="1">
      <c r="A13" s="205" t="s">
        <v>233</v>
      </c>
      <c r="B13" s="159" t="s">
        <v>333</v>
      </c>
      <c r="C13" s="159"/>
      <c r="D13" s="159"/>
      <c r="E13" s="159"/>
      <c r="F13" s="159"/>
      <c r="G13" s="159"/>
      <c r="H13" s="159"/>
      <c r="I13" s="159" t="s">
        <v>333</v>
      </c>
      <c r="J13" s="159"/>
      <c r="K13" s="159"/>
      <c r="L13" s="159"/>
      <c r="M13" s="159"/>
      <c r="N13" s="159"/>
      <c r="O13" s="159"/>
      <c r="P13" s="159" t="s">
        <v>333</v>
      </c>
      <c r="Q13" s="159"/>
      <c r="R13" s="159"/>
      <c r="S13" s="159"/>
      <c r="T13" s="159"/>
      <c r="U13" s="159"/>
      <c r="V13" s="159"/>
    </row>
    <row r="14" spans="1:22" ht="13.5" thickBot="1"/>
    <row r="15" spans="1:22" ht="18" customHeight="1" thickBot="1">
      <c r="A15" s="146" t="s">
        <v>252</v>
      </c>
      <c r="B15" s="273" t="s">
        <v>34</v>
      </c>
      <c r="C15" s="151"/>
      <c r="D15" s="151"/>
      <c r="E15" s="151"/>
      <c r="F15" s="151"/>
      <c r="G15" s="151"/>
      <c r="H15" s="152"/>
      <c r="I15" s="272" t="s">
        <v>189</v>
      </c>
      <c r="J15" s="147"/>
      <c r="K15" s="147"/>
      <c r="L15" s="147"/>
      <c r="M15" s="147"/>
      <c r="N15" s="147"/>
      <c r="O15" s="148"/>
      <c r="P15" s="273" t="s">
        <v>191</v>
      </c>
      <c r="Q15" s="151"/>
      <c r="R15" s="151"/>
      <c r="S15" s="151"/>
      <c r="T15" s="151"/>
      <c r="U15" s="151"/>
      <c r="V15" s="152"/>
    </row>
    <row r="16" spans="1:22" ht="13.5" thickBot="1">
      <c r="A16" s="30"/>
      <c r="B16" s="36" t="s">
        <v>3</v>
      </c>
      <c r="C16" s="36" t="s">
        <v>3</v>
      </c>
      <c r="D16" s="36"/>
      <c r="E16" s="36"/>
      <c r="F16" s="36" t="s">
        <v>4</v>
      </c>
      <c r="G16" s="36" t="s">
        <v>8</v>
      </c>
      <c r="H16" s="36" t="s">
        <v>8</v>
      </c>
      <c r="I16" s="36" t="s">
        <v>3</v>
      </c>
      <c r="J16" s="36" t="s">
        <v>3</v>
      </c>
      <c r="K16" s="36"/>
      <c r="L16" s="36"/>
      <c r="M16" s="36" t="s">
        <v>4</v>
      </c>
      <c r="N16" s="36" t="s">
        <v>8</v>
      </c>
      <c r="O16" s="36" t="s">
        <v>8</v>
      </c>
      <c r="P16" s="36" t="s">
        <v>3</v>
      </c>
      <c r="Q16" s="36" t="s">
        <v>3</v>
      </c>
      <c r="R16" s="36"/>
      <c r="S16" s="36"/>
      <c r="T16" s="36" t="s">
        <v>4</v>
      </c>
      <c r="U16" s="36" t="s">
        <v>8</v>
      </c>
      <c r="V16" s="36" t="s">
        <v>8</v>
      </c>
    </row>
    <row r="17" spans="1:22" ht="51">
      <c r="A17" s="72" t="s">
        <v>38</v>
      </c>
      <c r="B17" s="239" t="s">
        <v>352</v>
      </c>
      <c r="C17" s="240" t="s">
        <v>353</v>
      </c>
      <c r="D17" s="240" t="s">
        <v>325</v>
      </c>
      <c r="E17" s="240" t="s">
        <v>326</v>
      </c>
      <c r="F17" s="240" t="s">
        <v>25</v>
      </c>
      <c r="G17" s="240" t="s">
        <v>354</v>
      </c>
      <c r="H17" s="241" t="s">
        <v>355</v>
      </c>
      <c r="I17" s="233" t="s">
        <v>352</v>
      </c>
      <c r="J17" s="234" t="s">
        <v>353</v>
      </c>
      <c r="K17" s="234" t="s">
        <v>325</v>
      </c>
      <c r="L17" s="234" t="s">
        <v>326</v>
      </c>
      <c r="M17" s="234" t="s">
        <v>25</v>
      </c>
      <c r="N17" s="234" t="s">
        <v>354</v>
      </c>
      <c r="O17" s="235" t="s">
        <v>355</v>
      </c>
      <c r="P17" s="239" t="s">
        <v>352</v>
      </c>
      <c r="Q17" s="240" t="s">
        <v>353</v>
      </c>
      <c r="R17" s="240" t="s">
        <v>325</v>
      </c>
      <c r="S17" s="240" t="s">
        <v>326</v>
      </c>
      <c r="T17" s="240" t="s">
        <v>25</v>
      </c>
      <c r="U17" s="240" t="s">
        <v>354</v>
      </c>
      <c r="V17" s="241" t="s">
        <v>355</v>
      </c>
    </row>
    <row r="18" spans="1:22" ht="18" customHeight="1">
      <c r="A18" s="73" t="str">
        <f>IF($C$9="Data Not Entered On Set-Up Worksheet","",IF(OR(VLOOKUP($C$9,County_Lookup,2,FALSE)="",VLOOKUP($C$9,County_Lookup,2,FALSE)=0),"",VLOOKUP($C$9,County_Lookup,2,FALSE)))</f>
        <v/>
      </c>
      <c r="B18" s="49"/>
      <c r="C18" s="41"/>
      <c r="D18" s="41"/>
      <c r="E18" s="41"/>
      <c r="F18" s="41"/>
      <c r="G18" s="42" t="str">
        <f>IF($A18="","",IF($F18=0,0,B18/$F18))</f>
        <v/>
      </c>
      <c r="H18" s="236" t="str">
        <f>IF($A18="","",IF($F18=0,0,C18/$F18))</f>
        <v/>
      </c>
      <c r="I18" s="49"/>
      <c r="J18" s="41"/>
      <c r="K18" s="41"/>
      <c r="L18" s="41"/>
      <c r="M18" s="41"/>
      <c r="N18" s="42" t="str">
        <f>IF($A18="","",IF($M18=0,0,I18/$M18))</f>
        <v/>
      </c>
      <c r="O18" s="236" t="str">
        <f>IF($A18="","",IF($M18=0,0,J18/$M18))</f>
        <v/>
      </c>
      <c r="P18" s="49"/>
      <c r="Q18" s="41"/>
      <c r="R18" s="41"/>
      <c r="S18" s="41"/>
      <c r="T18" s="41"/>
      <c r="U18" s="42" t="str">
        <f>IF($A18="","",IF($T18=0,0,P18/$T18))</f>
        <v/>
      </c>
      <c r="V18" s="236" t="str">
        <f>IF($A18="","",IF($T18=0,0,Q18/$T18))</f>
        <v/>
      </c>
    </row>
    <row r="19" spans="1:22" ht="18" customHeight="1">
      <c r="A19" s="74" t="str">
        <f>IF($C$9="Data Not Entered On Set-Up Worksheet","",IF(OR(VLOOKUP($C$9,County_Lookup,3,FALSE)="",VLOOKUP($C$9,County_Lookup,3,FALSE)=0),"",VLOOKUP($C$9,County_Lookup,3,FALSE)))</f>
        <v/>
      </c>
      <c r="B19" s="49"/>
      <c r="C19" s="41"/>
      <c r="D19" s="41"/>
      <c r="E19" s="41"/>
      <c r="F19" s="41"/>
      <c r="G19" s="42" t="str">
        <f t="shared" ref="G19:H45" si="2">IF($A19="","",IF($F19=0,0,B19/$F19))</f>
        <v/>
      </c>
      <c r="H19" s="236" t="str">
        <f t="shared" si="2"/>
        <v/>
      </c>
      <c r="I19" s="49"/>
      <c r="J19" s="41"/>
      <c r="K19" s="41"/>
      <c r="L19" s="41"/>
      <c r="M19" s="41"/>
      <c r="N19" s="42" t="str">
        <f t="shared" ref="N19:O45" si="3">IF($A19="","",IF($M19=0,0,I19/$M19))</f>
        <v/>
      </c>
      <c r="O19" s="236" t="str">
        <f t="shared" si="3"/>
        <v/>
      </c>
      <c r="P19" s="49"/>
      <c r="Q19" s="41"/>
      <c r="R19" s="41"/>
      <c r="S19" s="41"/>
      <c r="T19" s="41"/>
      <c r="U19" s="42" t="str">
        <f t="shared" ref="U19:V45" si="4">IF($A19="","",IF($T19=0,0,P19/$T19))</f>
        <v/>
      </c>
      <c r="V19" s="236" t="str">
        <f t="shared" si="4"/>
        <v/>
      </c>
    </row>
    <row r="20" spans="1:22" ht="18" customHeight="1">
      <c r="A20" s="74" t="str">
        <f>IF($C$9="Data Not Entered On Set-Up Worksheet","",IF(OR(VLOOKUP($C$9,County_Lookup,4,FALSE)="",VLOOKUP($C$9,County_Lookup,4,FALSE)=0),"",VLOOKUP($C$9,County_Lookup,4,FALSE)))</f>
        <v/>
      </c>
      <c r="B20" s="49"/>
      <c r="C20" s="41"/>
      <c r="D20" s="41"/>
      <c r="E20" s="41"/>
      <c r="F20" s="41"/>
      <c r="G20" s="42" t="str">
        <f t="shared" si="2"/>
        <v/>
      </c>
      <c r="H20" s="236" t="str">
        <f t="shared" si="2"/>
        <v/>
      </c>
      <c r="I20" s="49"/>
      <c r="J20" s="41"/>
      <c r="K20" s="41"/>
      <c r="L20" s="41"/>
      <c r="M20" s="41"/>
      <c r="N20" s="42" t="str">
        <f t="shared" si="3"/>
        <v/>
      </c>
      <c r="O20" s="236" t="str">
        <f t="shared" si="3"/>
        <v/>
      </c>
      <c r="P20" s="49"/>
      <c r="Q20" s="41"/>
      <c r="R20" s="41"/>
      <c r="S20" s="41"/>
      <c r="T20" s="41"/>
      <c r="U20" s="42" t="str">
        <f t="shared" si="4"/>
        <v/>
      </c>
      <c r="V20" s="236" t="str">
        <f t="shared" si="4"/>
        <v/>
      </c>
    </row>
    <row r="21" spans="1:22" ht="18" customHeight="1">
      <c r="A21" s="74" t="str">
        <f>IF($C$9="Data Not Entered On Set-Up Worksheet","",IF(OR(VLOOKUP($C$9,County_Lookup,5,FALSE)="",VLOOKUP($C$9,County_Lookup,5,FALSE)=0),"",VLOOKUP($C$9,County_Lookup,5,FALSE)))</f>
        <v/>
      </c>
      <c r="B21" s="49"/>
      <c r="C21" s="41"/>
      <c r="D21" s="41"/>
      <c r="E21" s="41"/>
      <c r="F21" s="41"/>
      <c r="G21" s="42" t="str">
        <f t="shared" si="2"/>
        <v/>
      </c>
      <c r="H21" s="236" t="str">
        <f t="shared" si="2"/>
        <v/>
      </c>
      <c r="I21" s="49"/>
      <c r="J21" s="41"/>
      <c r="K21" s="41"/>
      <c r="L21" s="41"/>
      <c r="M21" s="41"/>
      <c r="N21" s="42" t="str">
        <f t="shared" si="3"/>
        <v/>
      </c>
      <c r="O21" s="236" t="str">
        <f t="shared" si="3"/>
        <v/>
      </c>
      <c r="P21" s="49"/>
      <c r="Q21" s="41"/>
      <c r="R21" s="41"/>
      <c r="S21" s="41"/>
      <c r="T21" s="41"/>
      <c r="U21" s="42" t="str">
        <f t="shared" si="4"/>
        <v/>
      </c>
      <c r="V21" s="236" t="str">
        <f t="shared" si="4"/>
        <v/>
      </c>
    </row>
    <row r="22" spans="1:22" ht="18" customHeight="1">
      <c r="A22" s="74" t="str">
        <f>IF($C$9="Data Not Entered On Set-Up Worksheet","",IF(OR(VLOOKUP($C$9,County_Lookup,6,FALSE)="",VLOOKUP($C$9,County_Lookup,6,FALSE)=0),"",VLOOKUP($C$9,County_Lookup,6,FALSE)))</f>
        <v/>
      </c>
      <c r="B22" s="49"/>
      <c r="C22" s="41"/>
      <c r="D22" s="41"/>
      <c r="E22" s="41"/>
      <c r="F22" s="41"/>
      <c r="G22" s="42" t="str">
        <f t="shared" si="2"/>
        <v/>
      </c>
      <c r="H22" s="236" t="str">
        <f t="shared" si="2"/>
        <v/>
      </c>
      <c r="I22" s="49"/>
      <c r="J22" s="41"/>
      <c r="K22" s="41"/>
      <c r="L22" s="41"/>
      <c r="M22" s="41"/>
      <c r="N22" s="42" t="str">
        <f t="shared" si="3"/>
        <v/>
      </c>
      <c r="O22" s="236" t="str">
        <f t="shared" si="3"/>
        <v/>
      </c>
      <c r="P22" s="49"/>
      <c r="Q22" s="41"/>
      <c r="R22" s="41"/>
      <c r="S22" s="41"/>
      <c r="T22" s="41"/>
      <c r="U22" s="42" t="str">
        <f t="shared" si="4"/>
        <v/>
      </c>
      <c r="V22" s="236" t="str">
        <f t="shared" si="4"/>
        <v/>
      </c>
    </row>
    <row r="23" spans="1:22" ht="18" customHeight="1">
      <c r="A23" s="74" t="str">
        <f>IF($C$9="Data Not Entered On Set-Up Worksheet","",IF(OR(VLOOKUP($C$9,County_Lookup,7,FALSE)="",VLOOKUP($C$9,County_Lookup,7,FALSE)=0),"",VLOOKUP($C$9,County_Lookup,7,FALSE)))</f>
        <v/>
      </c>
      <c r="B23" s="49"/>
      <c r="C23" s="41"/>
      <c r="D23" s="41"/>
      <c r="E23" s="41"/>
      <c r="F23" s="41"/>
      <c r="G23" s="42" t="str">
        <f t="shared" si="2"/>
        <v/>
      </c>
      <c r="H23" s="236" t="str">
        <f t="shared" si="2"/>
        <v/>
      </c>
      <c r="I23" s="49"/>
      <c r="J23" s="41"/>
      <c r="K23" s="41"/>
      <c r="L23" s="41"/>
      <c r="M23" s="41"/>
      <c r="N23" s="42" t="str">
        <f t="shared" si="3"/>
        <v/>
      </c>
      <c r="O23" s="236" t="str">
        <f t="shared" si="3"/>
        <v/>
      </c>
      <c r="P23" s="49"/>
      <c r="Q23" s="41"/>
      <c r="R23" s="41"/>
      <c r="S23" s="41"/>
      <c r="T23" s="41"/>
      <c r="U23" s="42" t="str">
        <f t="shared" si="4"/>
        <v/>
      </c>
      <c r="V23" s="236" t="str">
        <f t="shared" si="4"/>
        <v/>
      </c>
    </row>
    <row r="24" spans="1:22" ht="18" customHeight="1">
      <c r="A24" s="73" t="str">
        <f>IF($C$9="Data Not Entered On Set-Up Worksheet","",IF(OR(VLOOKUP($C$9,County_Lookup,8,FALSE)="",VLOOKUP($C$9,County_Lookup,8,FALSE)=0),"",VLOOKUP($C$9,County_Lookup,8,FALSE)))</f>
        <v/>
      </c>
      <c r="B24" s="49"/>
      <c r="C24" s="41"/>
      <c r="D24" s="41"/>
      <c r="E24" s="41"/>
      <c r="F24" s="41"/>
      <c r="G24" s="42" t="str">
        <f t="shared" si="2"/>
        <v/>
      </c>
      <c r="H24" s="236" t="str">
        <f t="shared" si="2"/>
        <v/>
      </c>
      <c r="I24" s="49"/>
      <c r="J24" s="41"/>
      <c r="K24" s="41"/>
      <c r="L24" s="41"/>
      <c r="M24" s="41"/>
      <c r="N24" s="42" t="str">
        <f t="shared" si="3"/>
        <v/>
      </c>
      <c r="O24" s="236" t="str">
        <f t="shared" si="3"/>
        <v/>
      </c>
      <c r="P24" s="49"/>
      <c r="Q24" s="41"/>
      <c r="R24" s="41"/>
      <c r="S24" s="41"/>
      <c r="T24" s="41"/>
      <c r="U24" s="42" t="str">
        <f t="shared" si="4"/>
        <v/>
      </c>
      <c r="V24" s="236" t="str">
        <f t="shared" si="4"/>
        <v/>
      </c>
    </row>
    <row r="25" spans="1:22" ht="18" customHeight="1">
      <c r="A25" s="74" t="str">
        <f>IF($C$9="Data Not Entered On Set-Up Worksheet","",IF(OR(VLOOKUP($C$9,County_Lookup,9,FALSE)="",VLOOKUP($C$9,County_Lookup,9,FALSE)=0),"",VLOOKUP($C$9,County_Lookup,9,FALSE)))</f>
        <v/>
      </c>
      <c r="B25" s="49"/>
      <c r="C25" s="41"/>
      <c r="D25" s="41"/>
      <c r="E25" s="41"/>
      <c r="F25" s="41"/>
      <c r="G25" s="42" t="str">
        <f t="shared" si="2"/>
        <v/>
      </c>
      <c r="H25" s="236" t="str">
        <f t="shared" si="2"/>
        <v/>
      </c>
      <c r="I25" s="49"/>
      <c r="J25" s="41"/>
      <c r="K25" s="41"/>
      <c r="L25" s="41"/>
      <c r="M25" s="41"/>
      <c r="N25" s="42" t="str">
        <f t="shared" si="3"/>
        <v/>
      </c>
      <c r="O25" s="236" t="str">
        <f t="shared" si="3"/>
        <v/>
      </c>
      <c r="P25" s="49"/>
      <c r="Q25" s="41"/>
      <c r="R25" s="41"/>
      <c r="S25" s="41"/>
      <c r="T25" s="41"/>
      <c r="U25" s="42" t="str">
        <f t="shared" si="4"/>
        <v/>
      </c>
      <c r="V25" s="236" t="str">
        <f t="shared" si="4"/>
        <v/>
      </c>
    </row>
    <row r="26" spans="1:22" ht="18" customHeight="1">
      <c r="A26" s="74" t="str">
        <f>IF($C$9="Data Not Entered On Set-Up Worksheet","",IF(OR(VLOOKUP($C$9,County_Lookup,10,FALSE)="",VLOOKUP($C$9,County_Lookup,10,FALSE)=0),"",VLOOKUP($C$9,County_Lookup,10,FALSE)))</f>
        <v/>
      </c>
      <c r="B26" s="49"/>
      <c r="C26" s="41"/>
      <c r="D26" s="41"/>
      <c r="E26" s="41"/>
      <c r="F26" s="41"/>
      <c r="G26" s="42" t="str">
        <f t="shared" si="2"/>
        <v/>
      </c>
      <c r="H26" s="236" t="str">
        <f t="shared" si="2"/>
        <v/>
      </c>
      <c r="I26" s="49"/>
      <c r="J26" s="41"/>
      <c r="K26" s="41"/>
      <c r="L26" s="41"/>
      <c r="M26" s="41"/>
      <c r="N26" s="42" t="str">
        <f t="shared" si="3"/>
        <v/>
      </c>
      <c r="O26" s="236" t="str">
        <f t="shared" si="3"/>
        <v/>
      </c>
      <c r="P26" s="49"/>
      <c r="Q26" s="41"/>
      <c r="R26" s="41"/>
      <c r="S26" s="41"/>
      <c r="T26" s="41"/>
      <c r="U26" s="42" t="str">
        <f t="shared" si="4"/>
        <v/>
      </c>
      <c r="V26" s="236" t="str">
        <f t="shared" si="4"/>
        <v/>
      </c>
    </row>
    <row r="27" spans="1:22" ht="18" customHeight="1">
      <c r="A27" s="74" t="str">
        <f>IF($C$9="Data Not Entered On Set-Up Worksheet","",IF(OR(VLOOKUP($C$9,County_Lookup,11,FALSE)="",VLOOKUP($C$9,County_Lookup,11,FALSE)=0),"",VLOOKUP($C$9,County_Lookup,11,FALSE)))</f>
        <v/>
      </c>
      <c r="B27" s="49"/>
      <c r="C27" s="41"/>
      <c r="D27" s="41"/>
      <c r="E27" s="41"/>
      <c r="F27" s="41"/>
      <c r="G27" s="42" t="str">
        <f t="shared" si="2"/>
        <v/>
      </c>
      <c r="H27" s="236" t="str">
        <f t="shared" si="2"/>
        <v/>
      </c>
      <c r="I27" s="49"/>
      <c r="J27" s="41"/>
      <c r="K27" s="41"/>
      <c r="L27" s="41"/>
      <c r="M27" s="41"/>
      <c r="N27" s="42" t="str">
        <f t="shared" si="3"/>
        <v/>
      </c>
      <c r="O27" s="236" t="str">
        <f t="shared" si="3"/>
        <v/>
      </c>
      <c r="P27" s="49"/>
      <c r="Q27" s="41"/>
      <c r="R27" s="41"/>
      <c r="S27" s="41"/>
      <c r="T27" s="41"/>
      <c r="U27" s="42" t="str">
        <f t="shared" si="4"/>
        <v/>
      </c>
      <c r="V27" s="236" t="str">
        <f t="shared" si="4"/>
        <v/>
      </c>
    </row>
    <row r="28" spans="1:22" ht="18" customHeight="1">
      <c r="A28" s="74" t="str">
        <f>IF($C$9="Data Not Entered On Set-Up Worksheet","",IF(OR(VLOOKUP($C$9,County_Lookup,12,FALSE)="",VLOOKUP($C$9,County_Lookup,12,FALSE)=0),"",VLOOKUP($C$9,County_Lookup,12,FALSE)))</f>
        <v/>
      </c>
      <c r="B28" s="49"/>
      <c r="C28" s="41"/>
      <c r="D28" s="41"/>
      <c r="E28" s="41"/>
      <c r="F28" s="41"/>
      <c r="G28" s="42" t="str">
        <f t="shared" si="2"/>
        <v/>
      </c>
      <c r="H28" s="236" t="str">
        <f t="shared" si="2"/>
        <v/>
      </c>
      <c r="I28" s="49"/>
      <c r="J28" s="41"/>
      <c r="K28" s="41"/>
      <c r="L28" s="41"/>
      <c r="M28" s="41"/>
      <c r="N28" s="42" t="str">
        <f t="shared" si="3"/>
        <v/>
      </c>
      <c r="O28" s="236" t="str">
        <f t="shared" si="3"/>
        <v/>
      </c>
      <c r="P28" s="49"/>
      <c r="Q28" s="41"/>
      <c r="R28" s="41"/>
      <c r="S28" s="41"/>
      <c r="T28" s="41"/>
      <c r="U28" s="42" t="str">
        <f t="shared" si="4"/>
        <v/>
      </c>
      <c r="V28" s="236" t="str">
        <f t="shared" si="4"/>
        <v/>
      </c>
    </row>
    <row r="29" spans="1:22" ht="18" customHeight="1">
      <c r="A29" s="74" t="str">
        <f>IF($C$9="Data Not Entered On Set-Up Worksheet","",IF(OR(VLOOKUP($C$9,County_Lookup,13,FALSE)="",VLOOKUP($C$9,County_Lookup,13,FALSE)=0),"",VLOOKUP($C$9,County_Lookup,13,FALSE)))</f>
        <v/>
      </c>
      <c r="B29" s="49"/>
      <c r="C29" s="41"/>
      <c r="D29" s="41"/>
      <c r="E29" s="41"/>
      <c r="F29" s="41"/>
      <c r="G29" s="42" t="str">
        <f t="shared" si="2"/>
        <v/>
      </c>
      <c r="H29" s="236" t="str">
        <f t="shared" si="2"/>
        <v/>
      </c>
      <c r="I29" s="49"/>
      <c r="J29" s="41"/>
      <c r="K29" s="41"/>
      <c r="L29" s="41"/>
      <c r="M29" s="41"/>
      <c r="N29" s="42" t="str">
        <f t="shared" si="3"/>
        <v/>
      </c>
      <c r="O29" s="236" t="str">
        <f t="shared" si="3"/>
        <v/>
      </c>
      <c r="P29" s="49"/>
      <c r="Q29" s="41"/>
      <c r="R29" s="41"/>
      <c r="S29" s="41"/>
      <c r="T29" s="41"/>
      <c r="U29" s="42" t="str">
        <f t="shared" si="4"/>
        <v/>
      </c>
      <c r="V29" s="236" t="str">
        <f t="shared" si="4"/>
        <v/>
      </c>
    </row>
    <row r="30" spans="1:22" ht="18" customHeight="1">
      <c r="A30" s="74" t="str">
        <f>IF($C$9="Data Not Entered On Set-Up Worksheet","",IF(OR(VLOOKUP($C$9,County_Lookup,14,FALSE)="",VLOOKUP($C$9,County_Lookup,14,FALSE)=0),"",VLOOKUP($C$9,County_Lookup,14,FALSE)))</f>
        <v/>
      </c>
      <c r="B30" s="49"/>
      <c r="C30" s="41"/>
      <c r="D30" s="41"/>
      <c r="E30" s="41"/>
      <c r="F30" s="41"/>
      <c r="G30" s="42" t="str">
        <f t="shared" si="2"/>
        <v/>
      </c>
      <c r="H30" s="236" t="str">
        <f t="shared" si="2"/>
        <v/>
      </c>
      <c r="I30" s="49"/>
      <c r="J30" s="41"/>
      <c r="K30" s="41"/>
      <c r="L30" s="41"/>
      <c r="M30" s="41"/>
      <c r="N30" s="42" t="str">
        <f t="shared" si="3"/>
        <v/>
      </c>
      <c r="O30" s="236" t="str">
        <f t="shared" si="3"/>
        <v/>
      </c>
      <c r="P30" s="49"/>
      <c r="Q30" s="41"/>
      <c r="R30" s="41"/>
      <c r="S30" s="41"/>
      <c r="T30" s="41"/>
      <c r="U30" s="42" t="str">
        <f t="shared" si="4"/>
        <v/>
      </c>
      <c r="V30" s="236" t="str">
        <f t="shared" si="4"/>
        <v/>
      </c>
    </row>
    <row r="31" spans="1:22" ht="18" customHeight="1">
      <c r="A31" s="73" t="str">
        <f>IF($C$9="Data Not Entered On Set-Up Worksheet","",IF(OR(VLOOKUP($C$9,County_Lookup,15,FALSE)="",VLOOKUP($C$9,County_Lookup,15,FALSE)=0),"",VLOOKUP($C$9,County_Lookup,15,FALSE)))</f>
        <v/>
      </c>
      <c r="B31" s="49"/>
      <c r="C31" s="41"/>
      <c r="D31" s="41"/>
      <c r="E31" s="41"/>
      <c r="F31" s="41"/>
      <c r="G31" s="42" t="str">
        <f t="shared" si="2"/>
        <v/>
      </c>
      <c r="H31" s="236" t="str">
        <f t="shared" si="2"/>
        <v/>
      </c>
      <c r="I31" s="49"/>
      <c r="J31" s="41"/>
      <c r="K31" s="41"/>
      <c r="L31" s="41"/>
      <c r="M31" s="41"/>
      <c r="N31" s="42" t="str">
        <f t="shared" si="3"/>
        <v/>
      </c>
      <c r="O31" s="236" t="str">
        <f t="shared" si="3"/>
        <v/>
      </c>
      <c r="P31" s="49"/>
      <c r="Q31" s="41"/>
      <c r="R31" s="41"/>
      <c r="S31" s="41"/>
      <c r="T31" s="41"/>
      <c r="U31" s="42" t="str">
        <f t="shared" si="4"/>
        <v/>
      </c>
      <c r="V31" s="236" t="str">
        <f t="shared" si="4"/>
        <v/>
      </c>
    </row>
    <row r="32" spans="1:22" ht="18" customHeight="1">
      <c r="A32" s="74" t="str">
        <f>IF($C$9="Data Not Entered On Set-Up Worksheet","",IF(OR(VLOOKUP($C$9,County_Lookup,16,FALSE)="",VLOOKUP($C$9,County_Lookup,16,FALSE)=0),"",VLOOKUP($C$9,County_Lookup,16,FALSE)))</f>
        <v/>
      </c>
      <c r="B32" s="49"/>
      <c r="C32" s="41"/>
      <c r="D32" s="41"/>
      <c r="E32" s="41"/>
      <c r="F32" s="41"/>
      <c r="G32" s="42" t="str">
        <f t="shared" si="2"/>
        <v/>
      </c>
      <c r="H32" s="236" t="str">
        <f t="shared" si="2"/>
        <v/>
      </c>
      <c r="I32" s="49"/>
      <c r="J32" s="41"/>
      <c r="K32" s="41"/>
      <c r="L32" s="41"/>
      <c r="M32" s="41"/>
      <c r="N32" s="42" t="str">
        <f t="shared" si="3"/>
        <v/>
      </c>
      <c r="O32" s="236" t="str">
        <f t="shared" si="3"/>
        <v/>
      </c>
      <c r="P32" s="49"/>
      <c r="Q32" s="41"/>
      <c r="R32" s="41"/>
      <c r="S32" s="41"/>
      <c r="T32" s="41"/>
      <c r="U32" s="42" t="str">
        <f t="shared" si="4"/>
        <v/>
      </c>
      <c r="V32" s="236" t="str">
        <f t="shared" si="4"/>
        <v/>
      </c>
    </row>
    <row r="33" spans="1:22" ht="18" customHeight="1">
      <c r="A33" s="74" t="str">
        <f>IF($C$9="Data Not Entered On Set-Up Worksheet","",IF(OR(VLOOKUP($C$9,County_Lookup,17,FALSE)="",VLOOKUP($C$9,County_Lookup,17,FALSE)=0),"",VLOOKUP($C$9,County_Lookup,17,FALSE)))</f>
        <v/>
      </c>
      <c r="B33" s="49"/>
      <c r="C33" s="41"/>
      <c r="D33" s="41"/>
      <c r="E33" s="41"/>
      <c r="F33" s="41"/>
      <c r="G33" s="42" t="str">
        <f t="shared" si="2"/>
        <v/>
      </c>
      <c r="H33" s="236" t="str">
        <f t="shared" si="2"/>
        <v/>
      </c>
      <c r="I33" s="49"/>
      <c r="J33" s="41"/>
      <c r="K33" s="41"/>
      <c r="L33" s="41"/>
      <c r="M33" s="41"/>
      <c r="N33" s="42" t="str">
        <f t="shared" si="3"/>
        <v/>
      </c>
      <c r="O33" s="236" t="str">
        <f t="shared" si="3"/>
        <v/>
      </c>
      <c r="P33" s="49"/>
      <c r="Q33" s="41"/>
      <c r="R33" s="41"/>
      <c r="S33" s="41"/>
      <c r="T33" s="41"/>
      <c r="U33" s="42" t="str">
        <f t="shared" si="4"/>
        <v/>
      </c>
      <c r="V33" s="236" t="str">
        <f t="shared" si="4"/>
        <v/>
      </c>
    </row>
    <row r="34" spans="1:22" ht="18" customHeight="1">
      <c r="A34" s="74" t="str">
        <f>IF($C$9="Data Not Entered On Set-Up Worksheet","",IF(OR(VLOOKUP($C$9,County_Lookup,18,FALSE)="",VLOOKUP($C$9,County_Lookup,18,FALSE)=0),"",VLOOKUP($C$9,County_Lookup,18,FALSE)))</f>
        <v/>
      </c>
      <c r="B34" s="49"/>
      <c r="C34" s="41"/>
      <c r="D34" s="41"/>
      <c r="E34" s="41"/>
      <c r="F34" s="41"/>
      <c r="G34" s="42" t="str">
        <f t="shared" si="2"/>
        <v/>
      </c>
      <c r="H34" s="236" t="str">
        <f t="shared" si="2"/>
        <v/>
      </c>
      <c r="I34" s="49"/>
      <c r="J34" s="41"/>
      <c r="K34" s="41"/>
      <c r="L34" s="41"/>
      <c r="M34" s="41"/>
      <c r="N34" s="42" t="str">
        <f t="shared" si="3"/>
        <v/>
      </c>
      <c r="O34" s="236" t="str">
        <f t="shared" si="3"/>
        <v/>
      </c>
      <c r="P34" s="49"/>
      <c r="Q34" s="41"/>
      <c r="R34" s="41"/>
      <c r="S34" s="41"/>
      <c r="T34" s="41"/>
      <c r="U34" s="42" t="str">
        <f t="shared" si="4"/>
        <v/>
      </c>
      <c r="V34" s="236" t="str">
        <f t="shared" si="4"/>
        <v/>
      </c>
    </row>
    <row r="35" spans="1:22" ht="18" customHeight="1">
      <c r="A35" s="74" t="str">
        <f>IF($C$9="Data Not Entered On Set-Up Worksheet","",IF(OR(VLOOKUP($C$9,County_Lookup,19,FALSE)="",VLOOKUP($C$9,County_Lookup,19,FALSE)=0),"",VLOOKUP($C$9,County_Lookup,19,FALSE)))</f>
        <v/>
      </c>
      <c r="B35" s="49"/>
      <c r="C35" s="41"/>
      <c r="D35" s="41"/>
      <c r="E35" s="41"/>
      <c r="F35" s="41"/>
      <c r="G35" s="42" t="str">
        <f t="shared" si="2"/>
        <v/>
      </c>
      <c r="H35" s="236" t="str">
        <f t="shared" si="2"/>
        <v/>
      </c>
      <c r="I35" s="49"/>
      <c r="J35" s="41"/>
      <c r="K35" s="41"/>
      <c r="L35" s="41"/>
      <c r="M35" s="41"/>
      <c r="N35" s="42" t="str">
        <f t="shared" si="3"/>
        <v/>
      </c>
      <c r="O35" s="236" t="str">
        <f t="shared" si="3"/>
        <v/>
      </c>
      <c r="P35" s="49"/>
      <c r="Q35" s="41"/>
      <c r="R35" s="41"/>
      <c r="S35" s="41"/>
      <c r="T35" s="41"/>
      <c r="U35" s="42" t="str">
        <f t="shared" si="4"/>
        <v/>
      </c>
      <c r="V35" s="236" t="str">
        <f t="shared" si="4"/>
        <v/>
      </c>
    </row>
    <row r="36" spans="1:22" ht="18" customHeight="1">
      <c r="A36" s="74" t="str">
        <f>IF($C$9="Data Not Entered On Set-Up Worksheet","",IF(OR(VLOOKUP($C$9,County_Lookup,20,FALSE)="",VLOOKUP($C$9,County_Lookup,20,FALSE)=0),"",VLOOKUP($C$9,County_Lookup,20,FALSE)))</f>
        <v/>
      </c>
      <c r="B36" s="49"/>
      <c r="C36" s="41"/>
      <c r="D36" s="41"/>
      <c r="E36" s="41"/>
      <c r="F36" s="41"/>
      <c r="G36" s="42" t="str">
        <f t="shared" si="2"/>
        <v/>
      </c>
      <c r="H36" s="236" t="str">
        <f t="shared" si="2"/>
        <v/>
      </c>
      <c r="I36" s="49"/>
      <c r="J36" s="41"/>
      <c r="K36" s="41"/>
      <c r="L36" s="41"/>
      <c r="M36" s="41"/>
      <c r="N36" s="42" t="str">
        <f t="shared" si="3"/>
        <v/>
      </c>
      <c r="O36" s="236" t="str">
        <f t="shared" si="3"/>
        <v/>
      </c>
      <c r="P36" s="49"/>
      <c r="Q36" s="41"/>
      <c r="R36" s="41"/>
      <c r="S36" s="41"/>
      <c r="T36" s="41"/>
      <c r="U36" s="42" t="str">
        <f t="shared" si="4"/>
        <v/>
      </c>
      <c r="V36" s="236" t="str">
        <f t="shared" si="4"/>
        <v/>
      </c>
    </row>
    <row r="37" spans="1:22" ht="18" customHeight="1">
      <c r="A37" s="74" t="str">
        <f>IF($C$9="Data Not Entered On Set-Up Worksheet","",IF(OR(VLOOKUP($C$9,County_Lookup,21,FALSE)="",VLOOKUP($C$9,County_Lookup,21,FALSE)=0),"",VLOOKUP($C$9,County_Lookup,21,FALSE)))</f>
        <v/>
      </c>
      <c r="B37" s="49"/>
      <c r="C37" s="41"/>
      <c r="D37" s="41"/>
      <c r="E37" s="41"/>
      <c r="F37" s="41"/>
      <c r="G37" s="42" t="str">
        <f t="shared" si="2"/>
        <v/>
      </c>
      <c r="H37" s="236" t="str">
        <f t="shared" si="2"/>
        <v/>
      </c>
      <c r="I37" s="49"/>
      <c r="J37" s="41"/>
      <c r="K37" s="41"/>
      <c r="L37" s="41"/>
      <c r="M37" s="41"/>
      <c r="N37" s="42" t="str">
        <f t="shared" si="3"/>
        <v/>
      </c>
      <c r="O37" s="236" t="str">
        <f t="shared" si="3"/>
        <v/>
      </c>
      <c r="P37" s="49"/>
      <c r="Q37" s="41"/>
      <c r="R37" s="41"/>
      <c r="S37" s="41"/>
      <c r="T37" s="41"/>
      <c r="U37" s="42" t="str">
        <f t="shared" si="4"/>
        <v/>
      </c>
      <c r="V37" s="236" t="str">
        <f t="shared" si="4"/>
        <v/>
      </c>
    </row>
    <row r="38" spans="1:22" ht="18" customHeight="1">
      <c r="A38" s="73" t="str">
        <f>IF($C$9="Data Not Entered On Set-Up Worksheet","",IF(OR(VLOOKUP($C$9,County_Lookup,22,FALSE)="",VLOOKUP($C$9,County_Lookup,22,FALSE)=0),"",VLOOKUP($C$9,County_Lookup,22,FALSE)))</f>
        <v/>
      </c>
      <c r="B38" s="49"/>
      <c r="C38" s="41"/>
      <c r="D38" s="41"/>
      <c r="E38" s="41"/>
      <c r="F38" s="41"/>
      <c r="G38" s="42" t="str">
        <f t="shared" si="2"/>
        <v/>
      </c>
      <c r="H38" s="236" t="str">
        <f t="shared" si="2"/>
        <v/>
      </c>
      <c r="I38" s="49"/>
      <c r="J38" s="41"/>
      <c r="K38" s="41"/>
      <c r="L38" s="41"/>
      <c r="M38" s="41"/>
      <c r="N38" s="42" t="str">
        <f t="shared" si="3"/>
        <v/>
      </c>
      <c r="O38" s="236" t="str">
        <f t="shared" si="3"/>
        <v/>
      </c>
      <c r="P38" s="49"/>
      <c r="Q38" s="41"/>
      <c r="R38" s="41"/>
      <c r="S38" s="41"/>
      <c r="T38" s="41"/>
      <c r="U38" s="42" t="str">
        <f t="shared" si="4"/>
        <v/>
      </c>
      <c r="V38" s="236" t="str">
        <f t="shared" si="4"/>
        <v/>
      </c>
    </row>
    <row r="39" spans="1:22" ht="18" customHeight="1">
      <c r="A39" s="74" t="str">
        <f>IF($C$9="Data Not Entered On Set-Up Worksheet","",IF(OR(VLOOKUP($C$9,County_Lookup,23,FALSE)="",VLOOKUP($C$9,County_Lookup,23,FALSE)=0),"",VLOOKUP($C$9,County_Lookup,23,FALSE)))</f>
        <v/>
      </c>
      <c r="B39" s="49"/>
      <c r="C39" s="41"/>
      <c r="D39" s="41"/>
      <c r="E39" s="41"/>
      <c r="F39" s="41"/>
      <c r="G39" s="42" t="str">
        <f t="shared" si="2"/>
        <v/>
      </c>
      <c r="H39" s="236" t="str">
        <f t="shared" si="2"/>
        <v/>
      </c>
      <c r="I39" s="49"/>
      <c r="J39" s="41"/>
      <c r="K39" s="41"/>
      <c r="L39" s="41"/>
      <c r="M39" s="41"/>
      <c r="N39" s="42" t="str">
        <f t="shared" si="3"/>
        <v/>
      </c>
      <c r="O39" s="236" t="str">
        <f t="shared" si="3"/>
        <v/>
      </c>
      <c r="P39" s="49"/>
      <c r="Q39" s="41"/>
      <c r="R39" s="41"/>
      <c r="S39" s="41"/>
      <c r="T39" s="41"/>
      <c r="U39" s="42" t="str">
        <f t="shared" si="4"/>
        <v/>
      </c>
      <c r="V39" s="236" t="str">
        <f t="shared" si="4"/>
        <v/>
      </c>
    </row>
    <row r="40" spans="1:22" ht="18" customHeight="1">
      <c r="A40" s="74" t="str">
        <f>IF($C$9="Data Not Entered On Set-Up Worksheet","",IF(OR(VLOOKUP($C$9,County_Lookup,24,FALSE)="",VLOOKUP($C$9,County_Lookup,24,FALSE)=0),"",VLOOKUP($C$9,County_Lookup,24,FALSE)))</f>
        <v/>
      </c>
      <c r="B40" s="49"/>
      <c r="C40" s="41"/>
      <c r="D40" s="41"/>
      <c r="E40" s="41"/>
      <c r="F40" s="41"/>
      <c r="G40" s="42" t="str">
        <f t="shared" ref="G40:G43" si="5">IF($A40="","",IF($F40=0,0,B40/$F40))</f>
        <v/>
      </c>
      <c r="H40" s="236" t="str">
        <f t="shared" ref="H40:H43" si="6">IF($A40="","",IF($F40=0,0,C40/$F40))</f>
        <v/>
      </c>
      <c r="I40" s="49"/>
      <c r="J40" s="41"/>
      <c r="K40" s="41"/>
      <c r="L40" s="41"/>
      <c r="M40" s="41"/>
      <c r="N40" s="42" t="str">
        <f t="shared" ref="N40:N43" si="7">IF($A40="","",IF($M40=0,0,I40/$M40))</f>
        <v/>
      </c>
      <c r="O40" s="236" t="str">
        <f t="shared" ref="O40:O43" si="8">IF($A40="","",IF($M40=0,0,J40/$M40))</f>
        <v/>
      </c>
      <c r="P40" s="49"/>
      <c r="Q40" s="41"/>
      <c r="R40" s="41"/>
      <c r="S40" s="41"/>
      <c r="T40" s="41"/>
      <c r="U40" s="42" t="str">
        <f t="shared" ref="U40:U43" si="9">IF($A40="","",IF($T40=0,0,P40/$T40))</f>
        <v/>
      </c>
      <c r="V40" s="236" t="str">
        <f t="shared" ref="V40:V43" si="10">IF($A40="","",IF($T40=0,0,Q40/$T40))</f>
        <v/>
      </c>
    </row>
    <row r="41" spans="1:22" ht="18" customHeight="1">
      <c r="A41" s="74" t="str">
        <f>IF($C$9="Data Not Entered On Set-Up Worksheet","",IF(OR(VLOOKUP($C$9,County_Lookup,25,FALSE)="",VLOOKUP($C$9,County_Lookup,25,FALSE)=0),"",VLOOKUP($C$9,County_Lookup,25,FALSE)))</f>
        <v/>
      </c>
      <c r="B41" s="49"/>
      <c r="C41" s="41"/>
      <c r="D41" s="41"/>
      <c r="E41" s="41"/>
      <c r="F41" s="41"/>
      <c r="G41" s="42" t="str">
        <f t="shared" si="5"/>
        <v/>
      </c>
      <c r="H41" s="236" t="str">
        <f t="shared" si="6"/>
        <v/>
      </c>
      <c r="I41" s="49"/>
      <c r="J41" s="41"/>
      <c r="K41" s="41"/>
      <c r="L41" s="41"/>
      <c r="M41" s="41"/>
      <c r="N41" s="42" t="str">
        <f t="shared" si="7"/>
        <v/>
      </c>
      <c r="O41" s="236" t="str">
        <f t="shared" si="8"/>
        <v/>
      </c>
      <c r="P41" s="49"/>
      <c r="Q41" s="41"/>
      <c r="R41" s="41"/>
      <c r="S41" s="41"/>
      <c r="T41" s="41"/>
      <c r="U41" s="42" t="str">
        <f t="shared" si="9"/>
        <v/>
      </c>
      <c r="V41" s="236" t="str">
        <f t="shared" si="10"/>
        <v/>
      </c>
    </row>
    <row r="42" spans="1:22" ht="18" customHeight="1">
      <c r="A42" s="74" t="str">
        <f>IF($C$9="Data Not Entered On Set-Up Worksheet","",IF(OR(VLOOKUP($C$9,County_Lookup,26,FALSE)="",VLOOKUP($C$9,County_Lookup,26,FALSE)=0),"",VLOOKUP($C$9,County_Lookup,26,FALSE)))</f>
        <v/>
      </c>
      <c r="B42" s="49"/>
      <c r="C42" s="41"/>
      <c r="D42" s="41"/>
      <c r="E42" s="41"/>
      <c r="F42" s="41"/>
      <c r="G42" s="42" t="str">
        <f t="shared" si="5"/>
        <v/>
      </c>
      <c r="H42" s="236" t="str">
        <f t="shared" si="6"/>
        <v/>
      </c>
      <c r="I42" s="49"/>
      <c r="J42" s="41"/>
      <c r="K42" s="41"/>
      <c r="L42" s="41"/>
      <c r="M42" s="41"/>
      <c r="N42" s="42" t="str">
        <f t="shared" si="7"/>
        <v/>
      </c>
      <c r="O42" s="236" t="str">
        <f t="shared" si="8"/>
        <v/>
      </c>
      <c r="P42" s="49"/>
      <c r="Q42" s="41"/>
      <c r="R42" s="41"/>
      <c r="S42" s="41"/>
      <c r="T42" s="41"/>
      <c r="U42" s="42" t="str">
        <f t="shared" si="9"/>
        <v/>
      </c>
      <c r="V42" s="236" t="str">
        <f t="shared" si="10"/>
        <v/>
      </c>
    </row>
    <row r="43" spans="1:22" ht="18" customHeight="1">
      <c r="A43" s="74" t="str">
        <f>IF($C$9="Data Not Entered On Set-Up Worksheet","",IF(OR(VLOOKUP($C$9,County_Lookup,27,FALSE)="",VLOOKUP($C$9,County_Lookup,27,FALSE)=0),"",VLOOKUP($C$9,County_Lookup,27,FALSE)))</f>
        <v/>
      </c>
      <c r="B43" s="49"/>
      <c r="C43" s="41"/>
      <c r="D43" s="41"/>
      <c r="E43" s="41"/>
      <c r="F43" s="41"/>
      <c r="G43" s="42" t="str">
        <f t="shared" si="5"/>
        <v/>
      </c>
      <c r="H43" s="236" t="str">
        <f t="shared" si="6"/>
        <v/>
      </c>
      <c r="I43" s="49"/>
      <c r="J43" s="41"/>
      <c r="K43" s="41"/>
      <c r="L43" s="41"/>
      <c r="M43" s="41"/>
      <c r="N43" s="42" t="str">
        <f t="shared" si="7"/>
        <v/>
      </c>
      <c r="O43" s="236" t="str">
        <f t="shared" si="8"/>
        <v/>
      </c>
      <c r="P43" s="49"/>
      <c r="Q43" s="41"/>
      <c r="R43" s="41"/>
      <c r="S43" s="41"/>
      <c r="T43" s="41"/>
      <c r="U43" s="42" t="str">
        <f t="shared" si="9"/>
        <v/>
      </c>
      <c r="V43" s="236" t="str">
        <f t="shared" si="10"/>
        <v/>
      </c>
    </row>
    <row r="44" spans="1:22" ht="18" customHeight="1">
      <c r="A44" s="74" t="str">
        <f>IF($C$9="Data Not Entered On Set-Up Worksheet","",IF(OR(VLOOKUP($C$9,County_Lookup,28,FALSE)="",VLOOKUP($C$9,County_Lookup,28,FALSE)=0),"",VLOOKUP($C$9,County_Lookup,28,FALSE)))</f>
        <v/>
      </c>
      <c r="B44" s="49"/>
      <c r="C44" s="41"/>
      <c r="D44" s="41"/>
      <c r="E44" s="41"/>
      <c r="F44" s="41"/>
      <c r="G44" s="42" t="str">
        <f t="shared" si="2"/>
        <v/>
      </c>
      <c r="H44" s="236" t="str">
        <f t="shared" si="2"/>
        <v/>
      </c>
      <c r="I44" s="49"/>
      <c r="J44" s="41"/>
      <c r="K44" s="41"/>
      <c r="L44" s="41"/>
      <c r="M44" s="41"/>
      <c r="N44" s="42" t="str">
        <f t="shared" si="3"/>
        <v/>
      </c>
      <c r="O44" s="236" t="str">
        <f t="shared" si="3"/>
        <v/>
      </c>
      <c r="P44" s="49"/>
      <c r="Q44" s="41"/>
      <c r="R44" s="41"/>
      <c r="S44" s="41"/>
      <c r="T44" s="41"/>
      <c r="U44" s="42" t="str">
        <f t="shared" si="4"/>
        <v/>
      </c>
      <c r="V44" s="236" t="str">
        <f t="shared" si="4"/>
        <v/>
      </c>
    </row>
    <row r="45" spans="1:22" ht="18" customHeight="1" thickBot="1">
      <c r="A45" s="75" t="s">
        <v>0</v>
      </c>
      <c r="B45" s="237">
        <f>SUM(B18:B44)</f>
        <v>0</v>
      </c>
      <c r="C45" s="238">
        <f t="shared" ref="C45:F45" si="11">SUM(C18:C44)</f>
        <v>0</v>
      </c>
      <c r="D45" s="238">
        <f t="shared" si="11"/>
        <v>0</v>
      </c>
      <c r="E45" s="238">
        <f t="shared" si="11"/>
        <v>0</v>
      </c>
      <c r="F45" s="238">
        <f t="shared" si="11"/>
        <v>0</v>
      </c>
      <c r="G45" s="242">
        <f t="shared" si="2"/>
        <v>0</v>
      </c>
      <c r="H45" s="243">
        <f t="shared" si="2"/>
        <v>0</v>
      </c>
      <c r="I45" s="237">
        <f>SUM(I18:I44)</f>
        <v>0</v>
      </c>
      <c r="J45" s="238">
        <f t="shared" ref="J45:M45" si="12">SUM(J18:J44)</f>
        <v>0</v>
      </c>
      <c r="K45" s="238">
        <f t="shared" si="12"/>
        <v>0</v>
      </c>
      <c r="L45" s="238">
        <f t="shared" si="12"/>
        <v>0</v>
      </c>
      <c r="M45" s="238">
        <f t="shared" si="12"/>
        <v>0</v>
      </c>
      <c r="N45" s="242">
        <f t="shared" si="3"/>
        <v>0</v>
      </c>
      <c r="O45" s="243">
        <f t="shared" si="3"/>
        <v>0</v>
      </c>
      <c r="P45" s="237">
        <f>SUM(P18:P44)</f>
        <v>0</v>
      </c>
      <c r="Q45" s="238">
        <f t="shared" ref="Q45:T45" si="13">SUM(Q18:Q44)</f>
        <v>0</v>
      </c>
      <c r="R45" s="238">
        <f t="shared" si="13"/>
        <v>0</v>
      </c>
      <c r="S45" s="238">
        <f t="shared" si="13"/>
        <v>0</v>
      </c>
      <c r="T45" s="238">
        <f t="shared" si="13"/>
        <v>0</v>
      </c>
      <c r="U45" s="242">
        <f t="shared" si="4"/>
        <v>0</v>
      </c>
      <c r="V45" s="243">
        <f t="shared" si="4"/>
        <v>0</v>
      </c>
    </row>
    <row r="46" spans="1:22">
      <c r="B46" s="22" t="s">
        <v>323</v>
      </c>
      <c r="I46" s="22" t="s">
        <v>323</v>
      </c>
      <c r="P46" s="22" t="s">
        <v>323</v>
      </c>
    </row>
    <row r="47" spans="1:22" ht="20.100000000000001" customHeight="1">
      <c r="A47" s="205" t="s">
        <v>232</v>
      </c>
      <c r="B47" s="159" t="s">
        <v>332</v>
      </c>
      <c r="C47" s="159"/>
      <c r="D47" s="159"/>
      <c r="E47" s="159"/>
      <c r="F47" s="159"/>
      <c r="G47" s="159"/>
      <c r="H47" s="159"/>
      <c r="I47" s="159" t="s">
        <v>332</v>
      </c>
      <c r="J47" s="159"/>
      <c r="K47" s="159"/>
      <c r="L47" s="159"/>
      <c r="M47" s="159"/>
      <c r="N47" s="159"/>
      <c r="O47" s="159"/>
      <c r="P47" s="159" t="s">
        <v>332</v>
      </c>
      <c r="Q47" s="159"/>
      <c r="R47" s="159"/>
      <c r="S47" s="159"/>
      <c r="T47" s="159"/>
      <c r="U47" s="159"/>
      <c r="V47" s="159"/>
    </row>
    <row r="48" spans="1:22" ht="13.5" thickBot="1"/>
    <row r="49" spans="1:22" ht="18" customHeight="1" thickBot="1">
      <c r="A49" s="146" t="s">
        <v>252</v>
      </c>
      <c r="B49" s="150" t="s">
        <v>34</v>
      </c>
      <c r="C49" s="151"/>
      <c r="D49" s="151"/>
      <c r="E49" s="151"/>
      <c r="F49" s="151"/>
      <c r="G49" s="151"/>
      <c r="H49" s="152"/>
      <c r="I49" s="60" t="s">
        <v>189</v>
      </c>
      <c r="J49" s="147"/>
      <c r="K49" s="147"/>
      <c r="L49" s="147"/>
      <c r="M49" s="147"/>
      <c r="N49" s="147"/>
      <c r="O49" s="148"/>
      <c r="P49" s="150" t="s">
        <v>191</v>
      </c>
      <c r="Q49" s="151"/>
      <c r="R49" s="151"/>
      <c r="S49" s="151"/>
      <c r="T49" s="151"/>
      <c r="U49" s="151"/>
      <c r="V49" s="152"/>
    </row>
    <row r="50" spans="1:22" ht="13.5" thickBot="1">
      <c r="A50" s="30"/>
      <c r="B50" s="36" t="s">
        <v>3</v>
      </c>
      <c r="C50" s="36" t="s">
        <v>3</v>
      </c>
      <c r="D50" s="36"/>
      <c r="E50" s="36"/>
      <c r="F50" s="36" t="s">
        <v>4</v>
      </c>
      <c r="G50" s="36" t="s">
        <v>8</v>
      </c>
      <c r="H50" s="36" t="s">
        <v>8</v>
      </c>
      <c r="I50" s="36" t="s">
        <v>3</v>
      </c>
      <c r="J50" s="36" t="s">
        <v>3</v>
      </c>
      <c r="K50" s="36"/>
      <c r="L50" s="36"/>
      <c r="M50" s="36" t="s">
        <v>4</v>
      </c>
      <c r="N50" s="36" t="s">
        <v>8</v>
      </c>
      <c r="O50" s="36" t="s">
        <v>8</v>
      </c>
      <c r="P50" s="36" t="s">
        <v>3</v>
      </c>
      <c r="Q50" s="36" t="s">
        <v>3</v>
      </c>
      <c r="R50" s="36"/>
      <c r="S50" s="36"/>
      <c r="T50" s="36" t="s">
        <v>4</v>
      </c>
      <c r="U50" s="36" t="s">
        <v>8</v>
      </c>
      <c r="V50" s="36" t="s">
        <v>8</v>
      </c>
    </row>
    <row r="51" spans="1:22" ht="51">
      <c r="A51" s="72" t="s">
        <v>38</v>
      </c>
      <c r="B51" s="239" t="s">
        <v>30</v>
      </c>
      <c r="C51" s="240" t="s">
        <v>28</v>
      </c>
      <c r="D51" s="240" t="s">
        <v>325</v>
      </c>
      <c r="E51" s="240" t="s">
        <v>326</v>
      </c>
      <c r="F51" s="240" t="s">
        <v>25</v>
      </c>
      <c r="G51" s="240" t="s">
        <v>31</v>
      </c>
      <c r="H51" s="241" t="s">
        <v>29</v>
      </c>
      <c r="I51" s="233" t="s">
        <v>30</v>
      </c>
      <c r="J51" s="234" t="s">
        <v>28</v>
      </c>
      <c r="K51" s="234" t="s">
        <v>325</v>
      </c>
      <c r="L51" s="234" t="s">
        <v>326</v>
      </c>
      <c r="M51" s="234" t="s">
        <v>25</v>
      </c>
      <c r="N51" s="234" t="s">
        <v>31</v>
      </c>
      <c r="O51" s="235" t="s">
        <v>29</v>
      </c>
      <c r="P51" s="239" t="s">
        <v>30</v>
      </c>
      <c r="Q51" s="240" t="s">
        <v>28</v>
      </c>
      <c r="R51" s="240" t="s">
        <v>325</v>
      </c>
      <c r="S51" s="240" t="s">
        <v>326</v>
      </c>
      <c r="T51" s="240" t="s">
        <v>25</v>
      </c>
      <c r="U51" s="240" t="s">
        <v>31</v>
      </c>
      <c r="V51" s="241" t="s">
        <v>29</v>
      </c>
    </row>
    <row r="52" spans="1:22" ht="18" customHeight="1">
      <c r="A52" s="73" t="str">
        <f>IF($C$9="Data Not Entered On Set-Up Worksheet","",IF(OR(VLOOKUP($C$9,County_Lookup,2,FALSE)="",VLOOKUP($C$9,County_Lookup,2,FALSE)=0),"",VLOOKUP($C$9,County_Lookup,2,FALSE)))</f>
        <v/>
      </c>
      <c r="B52" s="49"/>
      <c r="C52" s="41"/>
      <c r="D52" s="41"/>
      <c r="E52" s="41"/>
      <c r="F52" s="41"/>
      <c r="G52" s="42" t="str">
        <f>IF($A52="","",IF($F52=0,0,B52/$F52))</f>
        <v/>
      </c>
      <c r="H52" s="236" t="str">
        <f>IF($A52="","",IF($F52=0,0,C52/$F52))</f>
        <v/>
      </c>
      <c r="I52" s="49"/>
      <c r="J52" s="41"/>
      <c r="K52" s="41"/>
      <c r="L52" s="41"/>
      <c r="M52" s="41"/>
      <c r="N52" s="42" t="str">
        <f>IF($A52="","",IF($M52=0,0,I52/$M52))</f>
        <v/>
      </c>
      <c r="O52" s="236" t="str">
        <f>IF($A52="","",IF($M52=0,0,J52/$M52))</f>
        <v/>
      </c>
      <c r="P52" s="49"/>
      <c r="Q52" s="41"/>
      <c r="R52" s="41"/>
      <c r="S52" s="41"/>
      <c r="T52" s="41"/>
      <c r="U52" s="42" t="str">
        <f>IF($A52="","",IF($T52=0,0,P52/$T52))</f>
        <v/>
      </c>
      <c r="V52" s="236" t="str">
        <f>IF($A52="","",IF($T52=0,0,Q52/$T52))</f>
        <v/>
      </c>
    </row>
    <row r="53" spans="1:22" ht="18" customHeight="1">
      <c r="A53" s="74" t="str">
        <f>IF($C$9="Data Not Entered On Set-Up Worksheet","",IF(OR(VLOOKUP($C$9,County_Lookup,3,FALSE)="",VLOOKUP($C$9,County_Lookup,3,FALSE)=0),"",VLOOKUP($C$9,County_Lookup,3,FALSE)))</f>
        <v/>
      </c>
      <c r="B53" s="49"/>
      <c r="C53" s="41"/>
      <c r="D53" s="41"/>
      <c r="E53" s="41"/>
      <c r="F53" s="41"/>
      <c r="G53" s="42" t="str">
        <f t="shared" ref="G53:G79" si="14">IF($A53="","",IF($F53=0,0,B53/$F53))</f>
        <v/>
      </c>
      <c r="H53" s="236" t="str">
        <f t="shared" ref="H53:H79" si="15">IF($A53="","",IF($F53=0,0,C53/$F53))</f>
        <v/>
      </c>
      <c r="I53" s="49"/>
      <c r="J53" s="41"/>
      <c r="K53" s="41"/>
      <c r="L53" s="41"/>
      <c r="M53" s="41"/>
      <c r="N53" s="42" t="str">
        <f t="shared" ref="N53:N79" si="16">IF($A53="","",IF($M53=0,0,I53/$M53))</f>
        <v/>
      </c>
      <c r="O53" s="236" t="str">
        <f t="shared" ref="O53:O79" si="17">IF($A53="","",IF($M53=0,0,J53/$M53))</f>
        <v/>
      </c>
      <c r="P53" s="49"/>
      <c r="Q53" s="41"/>
      <c r="R53" s="41"/>
      <c r="S53" s="41"/>
      <c r="T53" s="41"/>
      <c r="U53" s="42" t="str">
        <f t="shared" ref="U53:U79" si="18">IF($A53="","",IF($T53=0,0,P53/$T53))</f>
        <v/>
      </c>
      <c r="V53" s="236" t="str">
        <f t="shared" ref="V53:V79" si="19">IF($A53="","",IF($T53=0,0,Q53/$T53))</f>
        <v/>
      </c>
    </row>
    <row r="54" spans="1:22" ht="18" customHeight="1">
      <c r="A54" s="74" t="str">
        <f>IF($C$9="Data Not Entered On Set-Up Worksheet","",IF(OR(VLOOKUP($C$9,County_Lookup,4,FALSE)="",VLOOKUP($C$9,County_Lookup,4,FALSE)=0),"",VLOOKUP($C$9,County_Lookup,4,FALSE)))</f>
        <v/>
      </c>
      <c r="B54" s="49"/>
      <c r="C54" s="41"/>
      <c r="D54" s="41"/>
      <c r="E54" s="41"/>
      <c r="F54" s="41"/>
      <c r="G54" s="42" t="str">
        <f t="shared" si="14"/>
        <v/>
      </c>
      <c r="H54" s="236" t="str">
        <f t="shared" si="15"/>
        <v/>
      </c>
      <c r="I54" s="49"/>
      <c r="J54" s="41"/>
      <c r="K54" s="41"/>
      <c r="L54" s="41"/>
      <c r="M54" s="41"/>
      <c r="N54" s="42" t="str">
        <f t="shared" si="16"/>
        <v/>
      </c>
      <c r="O54" s="236" t="str">
        <f t="shared" si="17"/>
        <v/>
      </c>
      <c r="P54" s="49"/>
      <c r="Q54" s="41"/>
      <c r="R54" s="41"/>
      <c r="S54" s="41"/>
      <c r="T54" s="41"/>
      <c r="U54" s="42" t="str">
        <f t="shared" si="18"/>
        <v/>
      </c>
      <c r="V54" s="236" t="str">
        <f t="shared" si="19"/>
        <v/>
      </c>
    </row>
    <row r="55" spans="1:22" ht="18" customHeight="1">
      <c r="A55" s="74" t="str">
        <f>IF($C$9="Data Not Entered On Set-Up Worksheet","",IF(OR(VLOOKUP($C$9,County_Lookup,5,FALSE)="",VLOOKUP($C$9,County_Lookup,5,FALSE)=0),"",VLOOKUP($C$9,County_Lookup,5,FALSE)))</f>
        <v/>
      </c>
      <c r="B55" s="49"/>
      <c r="C55" s="41"/>
      <c r="D55" s="41"/>
      <c r="E55" s="41"/>
      <c r="F55" s="41"/>
      <c r="G55" s="42" t="str">
        <f t="shared" si="14"/>
        <v/>
      </c>
      <c r="H55" s="236" t="str">
        <f t="shared" si="15"/>
        <v/>
      </c>
      <c r="I55" s="49"/>
      <c r="J55" s="41"/>
      <c r="K55" s="41"/>
      <c r="L55" s="41"/>
      <c r="M55" s="41"/>
      <c r="N55" s="42" t="str">
        <f t="shared" si="16"/>
        <v/>
      </c>
      <c r="O55" s="236" t="str">
        <f t="shared" si="17"/>
        <v/>
      </c>
      <c r="P55" s="49"/>
      <c r="Q55" s="41"/>
      <c r="R55" s="41"/>
      <c r="S55" s="41"/>
      <c r="T55" s="41"/>
      <c r="U55" s="42" t="str">
        <f t="shared" si="18"/>
        <v/>
      </c>
      <c r="V55" s="236" t="str">
        <f t="shared" si="19"/>
        <v/>
      </c>
    </row>
    <row r="56" spans="1:22" ht="18" customHeight="1">
      <c r="A56" s="74" t="str">
        <f>IF($C$9="Data Not Entered On Set-Up Worksheet","",IF(OR(VLOOKUP($C$9,County_Lookup,6,FALSE)="",VLOOKUP($C$9,County_Lookup,6,FALSE)=0),"",VLOOKUP($C$9,County_Lookup,6,FALSE)))</f>
        <v/>
      </c>
      <c r="B56" s="49"/>
      <c r="C56" s="41"/>
      <c r="D56" s="41"/>
      <c r="E56" s="41"/>
      <c r="F56" s="41"/>
      <c r="G56" s="42" t="str">
        <f t="shared" si="14"/>
        <v/>
      </c>
      <c r="H56" s="236" t="str">
        <f t="shared" si="15"/>
        <v/>
      </c>
      <c r="I56" s="49"/>
      <c r="J56" s="41"/>
      <c r="K56" s="41"/>
      <c r="L56" s="41"/>
      <c r="M56" s="41"/>
      <c r="N56" s="42" t="str">
        <f t="shared" si="16"/>
        <v/>
      </c>
      <c r="O56" s="236" t="str">
        <f t="shared" si="17"/>
        <v/>
      </c>
      <c r="P56" s="49"/>
      <c r="Q56" s="41"/>
      <c r="R56" s="41"/>
      <c r="S56" s="41"/>
      <c r="T56" s="41"/>
      <c r="U56" s="42" t="str">
        <f t="shared" si="18"/>
        <v/>
      </c>
      <c r="V56" s="236" t="str">
        <f t="shared" si="19"/>
        <v/>
      </c>
    </row>
    <row r="57" spans="1:22" ht="18" customHeight="1">
      <c r="A57" s="74" t="str">
        <f>IF($C$9="Data Not Entered On Set-Up Worksheet","",IF(OR(VLOOKUP($C$9,County_Lookup,7,FALSE)="",VLOOKUP($C$9,County_Lookup,7,FALSE)=0),"",VLOOKUP($C$9,County_Lookup,7,FALSE)))</f>
        <v/>
      </c>
      <c r="B57" s="49"/>
      <c r="C57" s="41"/>
      <c r="D57" s="41"/>
      <c r="E57" s="41"/>
      <c r="F57" s="41"/>
      <c r="G57" s="42" t="str">
        <f t="shared" si="14"/>
        <v/>
      </c>
      <c r="H57" s="236" t="str">
        <f t="shared" si="15"/>
        <v/>
      </c>
      <c r="I57" s="49"/>
      <c r="J57" s="41"/>
      <c r="K57" s="41"/>
      <c r="L57" s="41"/>
      <c r="M57" s="41"/>
      <c r="N57" s="42" t="str">
        <f t="shared" si="16"/>
        <v/>
      </c>
      <c r="O57" s="236" t="str">
        <f t="shared" si="17"/>
        <v/>
      </c>
      <c r="P57" s="49"/>
      <c r="Q57" s="41"/>
      <c r="R57" s="41"/>
      <c r="S57" s="41"/>
      <c r="T57" s="41"/>
      <c r="U57" s="42" t="str">
        <f t="shared" si="18"/>
        <v/>
      </c>
      <c r="V57" s="236" t="str">
        <f t="shared" si="19"/>
        <v/>
      </c>
    </row>
    <row r="58" spans="1:22" ht="18" customHeight="1">
      <c r="A58" s="73" t="str">
        <f>IF($C$9="Data Not Entered On Set-Up Worksheet","",IF(OR(VLOOKUP($C$9,County_Lookup,8,FALSE)="",VLOOKUP($C$9,County_Lookup,8,FALSE)=0),"",VLOOKUP($C$9,County_Lookup,8,FALSE)))</f>
        <v/>
      </c>
      <c r="B58" s="49"/>
      <c r="C58" s="41"/>
      <c r="D58" s="41"/>
      <c r="E58" s="41"/>
      <c r="F58" s="41"/>
      <c r="G58" s="42" t="str">
        <f t="shared" si="14"/>
        <v/>
      </c>
      <c r="H58" s="236" t="str">
        <f t="shared" si="15"/>
        <v/>
      </c>
      <c r="I58" s="49"/>
      <c r="J58" s="41"/>
      <c r="K58" s="41"/>
      <c r="L58" s="41"/>
      <c r="M58" s="41"/>
      <c r="N58" s="42" t="str">
        <f t="shared" si="16"/>
        <v/>
      </c>
      <c r="O58" s="236" t="str">
        <f t="shared" si="17"/>
        <v/>
      </c>
      <c r="P58" s="49"/>
      <c r="Q58" s="41"/>
      <c r="R58" s="41"/>
      <c r="S58" s="41"/>
      <c r="T58" s="41"/>
      <c r="U58" s="42" t="str">
        <f t="shared" si="18"/>
        <v/>
      </c>
      <c r="V58" s="236" t="str">
        <f t="shared" si="19"/>
        <v/>
      </c>
    </row>
    <row r="59" spans="1:22" ht="18" customHeight="1">
      <c r="A59" s="74" t="str">
        <f>IF($C$9="Data Not Entered On Set-Up Worksheet","",IF(OR(VLOOKUP($C$9,County_Lookup,9,FALSE)="",VLOOKUP($C$9,County_Lookup,9,FALSE)=0),"",VLOOKUP($C$9,County_Lookup,9,FALSE)))</f>
        <v/>
      </c>
      <c r="B59" s="49"/>
      <c r="C59" s="41"/>
      <c r="D59" s="41"/>
      <c r="E59" s="41"/>
      <c r="F59" s="41"/>
      <c r="G59" s="42" t="str">
        <f t="shared" si="14"/>
        <v/>
      </c>
      <c r="H59" s="236" t="str">
        <f t="shared" si="15"/>
        <v/>
      </c>
      <c r="I59" s="49"/>
      <c r="J59" s="41"/>
      <c r="K59" s="41"/>
      <c r="L59" s="41"/>
      <c r="M59" s="41"/>
      <c r="N59" s="42" t="str">
        <f t="shared" si="16"/>
        <v/>
      </c>
      <c r="O59" s="236" t="str">
        <f t="shared" si="17"/>
        <v/>
      </c>
      <c r="P59" s="49"/>
      <c r="Q59" s="41"/>
      <c r="R59" s="41"/>
      <c r="S59" s="41"/>
      <c r="T59" s="41"/>
      <c r="U59" s="42" t="str">
        <f t="shared" si="18"/>
        <v/>
      </c>
      <c r="V59" s="236" t="str">
        <f t="shared" si="19"/>
        <v/>
      </c>
    </row>
    <row r="60" spans="1:22" ht="18" customHeight="1">
      <c r="A60" s="74" t="str">
        <f>IF($C$9="Data Not Entered On Set-Up Worksheet","",IF(OR(VLOOKUP($C$9,County_Lookup,10,FALSE)="",VLOOKUP($C$9,County_Lookup,10,FALSE)=0),"",VLOOKUP($C$9,County_Lookup,10,FALSE)))</f>
        <v/>
      </c>
      <c r="B60" s="49"/>
      <c r="C60" s="41"/>
      <c r="D60" s="41"/>
      <c r="E60" s="41"/>
      <c r="F60" s="41"/>
      <c r="G60" s="42" t="str">
        <f t="shared" si="14"/>
        <v/>
      </c>
      <c r="H60" s="236" t="str">
        <f t="shared" si="15"/>
        <v/>
      </c>
      <c r="I60" s="49"/>
      <c r="J60" s="41"/>
      <c r="K60" s="41"/>
      <c r="L60" s="41"/>
      <c r="M60" s="41"/>
      <c r="N60" s="42" t="str">
        <f t="shared" si="16"/>
        <v/>
      </c>
      <c r="O60" s="236" t="str">
        <f t="shared" si="17"/>
        <v/>
      </c>
      <c r="P60" s="49"/>
      <c r="Q60" s="41"/>
      <c r="R60" s="41"/>
      <c r="S60" s="41"/>
      <c r="T60" s="41"/>
      <c r="U60" s="42" t="str">
        <f t="shared" si="18"/>
        <v/>
      </c>
      <c r="V60" s="236" t="str">
        <f t="shared" si="19"/>
        <v/>
      </c>
    </row>
    <row r="61" spans="1:22" ht="18" customHeight="1">
      <c r="A61" s="74" t="str">
        <f>IF($C$9="Data Not Entered On Set-Up Worksheet","",IF(OR(VLOOKUP($C$9,County_Lookup,11,FALSE)="",VLOOKUP($C$9,County_Lookup,11,FALSE)=0),"",VLOOKUP($C$9,County_Lookup,11,FALSE)))</f>
        <v/>
      </c>
      <c r="B61" s="49"/>
      <c r="C61" s="41"/>
      <c r="D61" s="41"/>
      <c r="E61" s="41"/>
      <c r="F61" s="41"/>
      <c r="G61" s="42" t="str">
        <f t="shared" si="14"/>
        <v/>
      </c>
      <c r="H61" s="236" t="str">
        <f t="shared" si="15"/>
        <v/>
      </c>
      <c r="I61" s="49"/>
      <c r="J61" s="41"/>
      <c r="K61" s="41"/>
      <c r="L61" s="41"/>
      <c r="M61" s="41"/>
      <c r="N61" s="42" t="str">
        <f t="shared" si="16"/>
        <v/>
      </c>
      <c r="O61" s="236" t="str">
        <f t="shared" si="17"/>
        <v/>
      </c>
      <c r="P61" s="49"/>
      <c r="Q61" s="41"/>
      <c r="R61" s="41"/>
      <c r="S61" s="41"/>
      <c r="T61" s="41"/>
      <c r="U61" s="42" t="str">
        <f t="shared" si="18"/>
        <v/>
      </c>
      <c r="V61" s="236" t="str">
        <f t="shared" si="19"/>
        <v/>
      </c>
    </row>
    <row r="62" spans="1:22" ht="18" customHeight="1">
      <c r="A62" s="74" t="str">
        <f>IF($C$9="Data Not Entered On Set-Up Worksheet","",IF(OR(VLOOKUP($C$9,County_Lookup,12,FALSE)="",VLOOKUP($C$9,County_Lookup,12,FALSE)=0),"",VLOOKUP($C$9,County_Lookup,12,FALSE)))</f>
        <v/>
      </c>
      <c r="B62" s="49"/>
      <c r="C62" s="41"/>
      <c r="D62" s="41"/>
      <c r="E62" s="41"/>
      <c r="F62" s="41"/>
      <c r="G62" s="42" t="str">
        <f t="shared" si="14"/>
        <v/>
      </c>
      <c r="H62" s="236" t="str">
        <f t="shared" si="15"/>
        <v/>
      </c>
      <c r="I62" s="49"/>
      <c r="J62" s="41"/>
      <c r="K62" s="41"/>
      <c r="L62" s="41"/>
      <c r="M62" s="41"/>
      <c r="N62" s="42" t="str">
        <f t="shared" si="16"/>
        <v/>
      </c>
      <c r="O62" s="236" t="str">
        <f t="shared" si="17"/>
        <v/>
      </c>
      <c r="P62" s="49"/>
      <c r="Q62" s="41"/>
      <c r="R62" s="41"/>
      <c r="S62" s="41"/>
      <c r="T62" s="41"/>
      <c r="U62" s="42" t="str">
        <f t="shared" si="18"/>
        <v/>
      </c>
      <c r="V62" s="236" t="str">
        <f t="shared" si="19"/>
        <v/>
      </c>
    </row>
    <row r="63" spans="1:22" ht="18" customHeight="1">
      <c r="A63" s="74" t="str">
        <f>IF($C$9="Data Not Entered On Set-Up Worksheet","",IF(OR(VLOOKUP($C$9,County_Lookup,13,FALSE)="",VLOOKUP($C$9,County_Lookup,13,FALSE)=0),"",VLOOKUP($C$9,County_Lookup,13,FALSE)))</f>
        <v/>
      </c>
      <c r="B63" s="49"/>
      <c r="C63" s="41"/>
      <c r="D63" s="41"/>
      <c r="E63" s="41"/>
      <c r="F63" s="41"/>
      <c r="G63" s="42" t="str">
        <f t="shared" si="14"/>
        <v/>
      </c>
      <c r="H63" s="236" t="str">
        <f t="shared" si="15"/>
        <v/>
      </c>
      <c r="I63" s="49"/>
      <c r="J63" s="41"/>
      <c r="K63" s="41"/>
      <c r="L63" s="41"/>
      <c r="M63" s="41"/>
      <c r="N63" s="42" t="str">
        <f t="shared" si="16"/>
        <v/>
      </c>
      <c r="O63" s="236" t="str">
        <f t="shared" si="17"/>
        <v/>
      </c>
      <c r="P63" s="49"/>
      <c r="Q63" s="41"/>
      <c r="R63" s="41"/>
      <c r="S63" s="41"/>
      <c r="T63" s="41"/>
      <c r="U63" s="42" t="str">
        <f t="shared" si="18"/>
        <v/>
      </c>
      <c r="V63" s="236" t="str">
        <f t="shared" si="19"/>
        <v/>
      </c>
    </row>
    <row r="64" spans="1:22" ht="18" customHeight="1">
      <c r="A64" s="74" t="str">
        <f>IF($C$9="Data Not Entered On Set-Up Worksheet","",IF(OR(VLOOKUP($C$9,County_Lookup,14,FALSE)="",VLOOKUP($C$9,County_Lookup,14,FALSE)=0),"",VLOOKUP($C$9,County_Lookup,14,FALSE)))</f>
        <v/>
      </c>
      <c r="B64" s="49"/>
      <c r="C64" s="41"/>
      <c r="D64" s="41"/>
      <c r="E64" s="41"/>
      <c r="F64" s="41"/>
      <c r="G64" s="42" t="str">
        <f t="shared" si="14"/>
        <v/>
      </c>
      <c r="H64" s="236" t="str">
        <f t="shared" si="15"/>
        <v/>
      </c>
      <c r="I64" s="49"/>
      <c r="J64" s="41"/>
      <c r="K64" s="41"/>
      <c r="L64" s="41"/>
      <c r="M64" s="41"/>
      <c r="N64" s="42" t="str">
        <f t="shared" si="16"/>
        <v/>
      </c>
      <c r="O64" s="236" t="str">
        <f t="shared" si="17"/>
        <v/>
      </c>
      <c r="P64" s="49"/>
      <c r="Q64" s="41"/>
      <c r="R64" s="41"/>
      <c r="S64" s="41"/>
      <c r="T64" s="41"/>
      <c r="U64" s="42" t="str">
        <f t="shared" si="18"/>
        <v/>
      </c>
      <c r="V64" s="236" t="str">
        <f t="shared" si="19"/>
        <v/>
      </c>
    </row>
    <row r="65" spans="1:22" ht="18" customHeight="1">
      <c r="A65" s="73" t="str">
        <f>IF($C$9="Data Not Entered On Set-Up Worksheet","",IF(OR(VLOOKUP($C$9,County_Lookup,15,FALSE)="",VLOOKUP($C$9,County_Lookup,15,FALSE)=0),"",VLOOKUP($C$9,County_Lookup,15,FALSE)))</f>
        <v/>
      </c>
      <c r="B65" s="49"/>
      <c r="C65" s="41"/>
      <c r="D65" s="41"/>
      <c r="E65" s="41"/>
      <c r="F65" s="41"/>
      <c r="G65" s="42" t="str">
        <f t="shared" si="14"/>
        <v/>
      </c>
      <c r="H65" s="236" t="str">
        <f t="shared" si="15"/>
        <v/>
      </c>
      <c r="I65" s="49"/>
      <c r="J65" s="41"/>
      <c r="K65" s="41"/>
      <c r="L65" s="41"/>
      <c r="M65" s="41"/>
      <c r="N65" s="42" t="str">
        <f t="shared" si="16"/>
        <v/>
      </c>
      <c r="O65" s="236" t="str">
        <f t="shared" si="17"/>
        <v/>
      </c>
      <c r="P65" s="49"/>
      <c r="Q65" s="41"/>
      <c r="R65" s="41"/>
      <c r="S65" s="41"/>
      <c r="T65" s="41"/>
      <c r="U65" s="42" t="str">
        <f t="shared" si="18"/>
        <v/>
      </c>
      <c r="V65" s="236" t="str">
        <f t="shared" si="19"/>
        <v/>
      </c>
    </row>
    <row r="66" spans="1:22" ht="18" customHeight="1">
      <c r="A66" s="74" t="str">
        <f>IF($C$9="Data Not Entered On Set-Up Worksheet","",IF(OR(VLOOKUP($C$9,County_Lookup,16,FALSE)="",VLOOKUP($C$9,County_Lookup,16,FALSE)=0),"",VLOOKUP($C$9,County_Lookup,16,FALSE)))</f>
        <v/>
      </c>
      <c r="B66" s="49"/>
      <c r="C66" s="41"/>
      <c r="D66" s="41"/>
      <c r="E66" s="41"/>
      <c r="F66" s="41"/>
      <c r="G66" s="42" t="str">
        <f t="shared" si="14"/>
        <v/>
      </c>
      <c r="H66" s="236" t="str">
        <f t="shared" si="15"/>
        <v/>
      </c>
      <c r="I66" s="49"/>
      <c r="J66" s="41"/>
      <c r="K66" s="41"/>
      <c r="L66" s="41"/>
      <c r="M66" s="41"/>
      <c r="N66" s="42" t="str">
        <f t="shared" si="16"/>
        <v/>
      </c>
      <c r="O66" s="236" t="str">
        <f t="shared" si="17"/>
        <v/>
      </c>
      <c r="P66" s="49"/>
      <c r="Q66" s="41"/>
      <c r="R66" s="41"/>
      <c r="S66" s="41"/>
      <c r="T66" s="41"/>
      <c r="U66" s="42" t="str">
        <f t="shared" si="18"/>
        <v/>
      </c>
      <c r="V66" s="236" t="str">
        <f t="shared" si="19"/>
        <v/>
      </c>
    </row>
    <row r="67" spans="1:22" ht="18" customHeight="1">
      <c r="A67" s="74" t="str">
        <f>IF($C$9="Data Not Entered On Set-Up Worksheet","",IF(OR(VLOOKUP($C$9,County_Lookup,17,FALSE)="",VLOOKUP($C$9,County_Lookup,17,FALSE)=0),"",VLOOKUP($C$9,County_Lookup,17,FALSE)))</f>
        <v/>
      </c>
      <c r="B67" s="49"/>
      <c r="C67" s="41"/>
      <c r="D67" s="41"/>
      <c r="E67" s="41"/>
      <c r="F67" s="41"/>
      <c r="G67" s="42" t="str">
        <f t="shared" si="14"/>
        <v/>
      </c>
      <c r="H67" s="236" t="str">
        <f t="shared" si="15"/>
        <v/>
      </c>
      <c r="I67" s="49"/>
      <c r="J67" s="41"/>
      <c r="K67" s="41"/>
      <c r="L67" s="41"/>
      <c r="M67" s="41"/>
      <c r="N67" s="42" t="str">
        <f t="shared" si="16"/>
        <v/>
      </c>
      <c r="O67" s="236" t="str">
        <f t="shared" si="17"/>
        <v/>
      </c>
      <c r="P67" s="49"/>
      <c r="Q67" s="41"/>
      <c r="R67" s="41"/>
      <c r="S67" s="41"/>
      <c r="T67" s="41"/>
      <c r="U67" s="42" t="str">
        <f t="shared" si="18"/>
        <v/>
      </c>
      <c r="V67" s="236" t="str">
        <f t="shared" si="19"/>
        <v/>
      </c>
    </row>
    <row r="68" spans="1:22" ht="18" customHeight="1">
      <c r="A68" s="74" t="str">
        <f>IF($C$9="Data Not Entered On Set-Up Worksheet","",IF(OR(VLOOKUP($C$9,County_Lookup,18,FALSE)="",VLOOKUP($C$9,County_Lookup,18,FALSE)=0),"",VLOOKUP($C$9,County_Lookup,18,FALSE)))</f>
        <v/>
      </c>
      <c r="B68" s="49"/>
      <c r="C68" s="41"/>
      <c r="D68" s="41"/>
      <c r="E68" s="41"/>
      <c r="F68" s="41"/>
      <c r="G68" s="42" t="str">
        <f t="shared" si="14"/>
        <v/>
      </c>
      <c r="H68" s="236" t="str">
        <f t="shared" si="15"/>
        <v/>
      </c>
      <c r="I68" s="49"/>
      <c r="J68" s="41"/>
      <c r="K68" s="41"/>
      <c r="L68" s="41"/>
      <c r="M68" s="41"/>
      <c r="N68" s="42" t="str">
        <f t="shared" si="16"/>
        <v/>
      </c>
      <c r="O68" s="236" t="str">
        <f t="shared" si="17"/>
        <v/>
      </c>
      <c r="P68" s="49"/>
      <c r="Q68" s="41"/>
      <c r="R68" s="41"/>
      <c r="S68" s="41"/>
      <c r="T68" s="41"/>
      <c r="U68" s="42" t="str">
        <f t="shared" si="18"/>
        <v/>
      </c>
      <c r="V68" s="236" t="str">
        <f t="shared" si="19"/>
        <v/>
      </c>
    </row>
    <row r="69" spans="1:22" ht="18" customHeight="1">
      <c r="A69" s="74" t="str">
        <f>IF($C$9="Data Not Entered On Set-Up Worksheet","",IF(OR(VLOOKUP($C$9,County_Lookup,19,FALSE)="",VLOOKUP($C$9,County_Lookup,19,FALSE)=0),"",VLOOKUP($C$9,County_Lookup,19,FALSE)))</f>
        <v/>
      </c>
      <c r="B69" s="49"/>
      <c r="C69" s="41"/>
      <c r="D69" s="41"/>
      <c r="E69" s="41"/>
      <c r="F69" s="41"/>
      <c r="G69" s="42" t="str">
        <f t="shared" si="14"/>
        <v/>
      </c>
      <c r="H69" s="236" t="str">
        <f t="shared" si="15"/>
        <v/>
      </c>
      <c r="I69" s="49"/>
      <c r="J69" s="41"/>
      <c r="K69" s="41"/>
      <c r="L69" s="41"/>
      <c r="M69" s="41"/>
      <c r="N69" s="42" t="str">
        <f t="shared" si="16"/>
        <v/>
      </c>
      <c r="O69" s="236" t="str">
        <f t="shared" si="17"/>
        <v/>
      </c>
      <c r="P69" s="49"/>
      <c r="Q69" s="41"/>
      <c r="R69" s="41"/>
      <c r="S69" s="41"/>
      <c r="T69" s="41"/>
      <c r="U69" s="42" t="str">
        <f t="shared" si="18"/>
        <v/>
      </c>
      <c r="V69" s="236" t="str">
        <f t="shared" si="19"/>
        <v/>
      </c>
    </row>
    <row r="70" spans="1:22" ht="18" customHeight="1">
      <c r="A70" s="74" t="str">
        <f>IF($C$9="Data Not Entered On Set-Up Worksheet","",IF(OR(VLOOKUP($C$9,County_Lookup,20,FALSE)="",VLOOKUP($C$9,County_Lookup,20,FALSE)=0),"",VLOOKUP($C$9,County_Lookup,20,FALSE)))</f>
        <v/>
      </c>
      <c r="B70" s="49"/>
      <c r="C70" s="41"/>
      <c r="D70" s="41"/>
      <c r="E70" s="41"/>
      <c r="F70" s="41"/>
      <c r="G70" s="42" t="str">
        <f t="shared" si="14"/>
        <v/>
      </c>
      <c r="H70" s="236" t="str">
        <f t="shared" si="15"/>
        <v/>
      </c>
      <c r="I70" s="49"/>
      <c r="J70" s="41"/>
      <c r="K70" s="41"/>
      <c r="L70" s="41"/>
      <c r="M70" s="41"/>
      <c r="N70" s="42" t="str">
        <f t="shared" si="16"/>
        <v/>
      </c>
      <c r="O70" s="236" t="str">
        <f t="shared" si="17"/>
        <v/>
      </c>
      <c r="P70" s="49"/>
      <c r="Q70" s="41"/>
      <c r="R70" s="41"/>
      <c r="S70" s="41"/>
      <c r="T70" s="41"/>
      <c r="U70" s="42" t="str">
        <f t="shared" si="18"/>
        <v/>
      </c>
      <c r="V70" s="236" t="str">
        <f t="shared" si="19"/>
        <v/>
      </c>
    </row>
    <row r="71" spans="1:22" ht="18" customHeight="1">
      <c r="A71" s="74" t="str">
        <f>IF($C$9="Data Not Entered On Set-Up Worksheet","",IF(OR(VLOOKUP($C$9,County_Lookup,21,FALSE)="",VLOOKUP($C$9,County_Lookup,21,FALSE)=0),"",VLOOKUP($C$9,County_Lookup,21,FALSE)))</f>
        <v/>
      </c>
      <c r="B71" s="49"/>
      <c r="C71" s="41"/>
      <c r="D71" s="41"/>
      <c r="E71" s="41"/>
      <c r="F71" s="41"/>
      <c r="G71" s="42" t="str">
        <f t="shared" si="14"/>
        <v/>
      </c>
      <c r="H71" s="236" t="str">
        <f t="shared" si="15"/>
        <v/>
      </c>
      <c r="I71" s="49"/>
      <c r="J71" s="41"/>
      <c r="K71" s="41"/>
      <c r="L71" s="41"/>
      <c r="M71" s="41"/>
      <c r="N71" s="42" t="str">
        <f t="shared" si="16"/>
        <v/>
      </c>
      <c r="O71" s="236" t="str">
        <f t="shared" si="17"/>
        <v/>
      </c>
      <c r="P71" s="49"/>
      <c r="Q71" s="41"/>
      <c r="R71" s="41"/>
      <c r="S71" s="41"/>
      <c r="T71" s="41"/>
      <c r="U71" s="42" t="str">
        <f t="shared" si="18"/>
        <v/>
      </c>
      <c r="V71" s="236" t="str">
        <f t="shared" si="19"/>
        <v/>
      </c>
    </row>
    <row r="72" spans="1:22" ht="18" customHeight="1">
      <c r="A72" s="73" t="str">
        <f>IF($C$9="Data Not Entered On Set-Up Worksheet","",IF(OR(VLOOKUP($C$9,County_Lookup,22,FALSE)="",VLOOKUP($C$9,County_Lookup,22,FALSE)=0),"",VLOOKUP($C$9,County_Lookup,22,FALSE)))</f>
        <v/>
      </c>
      <c r="B72" s="49"/>
      <c r="C72" s="41"/>
      <c r="D72" s="41"/>
      <c r="E72" s="41"/>
      <c r="F72" s="41"/>
      <c r="G72" s="42" t="str">
        <f t="shared" si="14"/>
        <v/>
      </c>
      <c r="H72" s="236" t="str">
        <f t="shared" si="15"/>
        <v/>
      </c>
      <c r="I72" s="49"/>
      <c r="J72" s="41"/>
      <c r="K72" s="41"/>
      <c r="L72" s="41"/>
      <c r="M72" s="41"/>
      <c r="N72" s="42" t="str">
        <f t="shared" si="16"/>
        <v/>
      </c>
      <c r="O72" s="236" t="str">
        <f t="shared" si="17"/>
        <v/>
      </c>
      <c r="P72" s="49"/>
      <c r="Q72" s="41"/>
      <c r="R72" s="41"/>
      <c r="S72" s="41"/>
      <c r="T72" s="41"/>
      <c r="U72" s="42" t="str">
        <f t="shared" si="18"/>
        <v/>
      </c>
      <c r="V72" s="236" t="str">
        <f t="shared" si="19"/>
        <v/>
      </c>
    </row>
    <row r="73" spans="1:22" ht="18" customHeight="1">
      <c r="A73" s="74" t="str">
        <f>IF($C$9="Data Not Entered On Set-Up Worksheet","",IF(OR(VLOOKUP($C$9,County_Lookup,23,FALSE)="",VLOOKUP($C$9,County_Lookup,23,FALSE)=0),"",VLOOKUP($C$9,County_Lookup,23,FALSE)))</f>
        <v/>
      </c>
      <c r="B73" s="49"/>
      <c r="C73" s="41"/>
      <c r="D73" s="41"/>
      <c r="E73" s="41"/>
      <c r="F73" s="41"/>
      <c r="G73" s="42" t="str">
        <f t="shared" si="14"/>
        <v/>
      </c>
      <c r="H73" s="236" t="str">
        <f t="shared" si="15"/>
        <v/>
      </c>
      <c r="I73" s="49"/>
      <c r="J73" s="41"/>
      <c r="K73" s="41"/>
      <c r="L73" s="41"/>
      <c r="M73" s="41"/>
      <c r="N73" s="42" t="str">
        <f t="shared" si="16"/>
        <v/>
      </c>
      <c r="O73" s="236" t="str">
        <f t="shared" si="17"/>
        <v/>
      </c>
      <c r="P73" s="49"/>
      <c r="Q73" s="41"/>
      <c r="R73" s="41"/>
      <c r="S73" s="41"/>
      <c r="T73" s="41"/>
      <c r="U73" s="42" t="str">
        <f t="shared" si="18"/>
        <v/>
      </c>
      <c r="V73" s="236" t="str">
        <f t="shared" si="19"/>
        <v/>
      </c>
    </row>
    <row r="74" spans="1:22" ht="18" customHeight="1">
      <c r="A74" s="74" t="str">
        <f>IF($C$9="Data Not Entered On Set-Up Worksheet","",IF(OR(VLOOKUP($C$9,County_Lookup,24,FALSE)="",VLOOKUP($C$9,County_Lookup,24,FALSE)=0),"",VLOOKUP($C$9,County_Lookup,24,FALSE)))</f>
        <v/>
      </c>
      <c r="B74" s="49"/>
      <c r="C74" s="41"/>
      <c r="D74" s="41"/>
      <c r="E74" s="41"/>
      <c r="F74" s="41"/>
      <c r="G74" s="42" t="str">
        <f t="shared" ref="G74:G77" si="20">IF($A74="","",IF($F74=0,0,B74/$F74))</f>
        <v/>
      </c>
      <c r="H74" s="236" t="str">
        <f t="shared" ref="H74:H77" si="21">IF($A74="","",IF($F74=0,0,C74/$F74))</f>
        <v/>
      </c>
      <c r="I74" s="49"/>
      <c r="J74" s="41"/>
      <c r="K74" s="41"/>
      <c r="L74" s="41"/>
      <c r="M74" s="41"/>
      <c r="N74" s="42" t="str">
        <f t="shared" ref="N74:N77" si="22">IF($A74="","",IF($M74=0,0,I74/$M74))</f>
        <v/>
      </c>
      <c r="O74" s="236" t="str">
        <f t="shared" ref="O74:O77" si="23">IF($A74="","",IF($M74=0,0,J74/$M74))</f>
        <v/>
      </c>
      <c r="P74" s="49"/>
      <c r="Q74" s="41"/>
      <c r="R74" s="41"/>
      <c r="S74" s="41"/>
      <c r="T74" s="41"/>
      <c r="U74" s="42" t="str">
        <f t="shared" ref="U74:U77" si="24">IF($A74="","",IF($T74=0,0,P74/$T74))</f>
        <v/>
      </c>
      <c r="V74" s="236" t="str">
        <f t="shared" ref="V74:V77" si="25">IF($A74="","",IF($T74=0,0,Q74/$T74))</f>
        <v/>
      </c>
    </row>
    <row r="75" spans="1:22" ht="18" customHeight="1">
      <c r="A75" s="74" t="str">
        <f>IF($C$9="Data Not Entered On Set-Up Worksheet","",IF(OR(VLOOKUP($C$9,County_Lookup,25,FALSE)="",VLOOKUP($C$9,County_Lookup,25,FALSE)=0),"",VLOOKUP($C$9,County_Lookup,25,FALSE)))</f>
        <v/>
      </c>
      <c r="B75" s="49"/>
      <c r="C75" s="41"/>
      <c r="D75" s="41"/>
      <c r="E75" s="41"/>
      <c r="F75" s="41"/>
      <c r="G75" s="42" t="str">
        <f t="shared" si="20"/>
        <v/>
      </c>
      <c r="H75" s="236" t="str">
        <f t="shared" si="21"/>
        <v/>
      </c>
      <c r="I75" s="49"/>
      <c r="J75" s="41"/>
      <c r="K75" s="41"/>
      <c r="L75" s="41"/>
      <c r="M75" s="41"/>
      <c r="N75" s="42" t="str">
        <f t="shared" si="22"/>
        <v/>
      </c>
      <c r="O75" s="236" t="str">
        <f t="shared" si="23"/>
        <v/>
      </c>
      <c r="P75" s="49"/>
      <c r="Q75" s="41"/>
      <c r="R75" s="41"/>
      <c r="S75" s="41"/>
      <c r="T75" s="41"/>
      <c r="U75" s="42" t="str">
        <f t="shared" si="24"/>
        <v/>
      </c>
      <c r="V75" s="236" t="str">
        <f t="shared" si="25"/>
        <v/>
      </c>
    </row>
    <row r="76" spans="1:22" ht="18" customHeight="1">
      <c r="A76" s="74" t="str">
        <f>IF($C$9="Data Not Entered On Set-Up Worksheet","",IF(OR(VLOOKUP($C$9,County_Lookup,26,FALSE)="",VLOOKUP($C$9,County_Lookup,26,FALSE)=0),"",VLOOKUP($C$9,County_Lookup,26,FALSE)))</f>
        <v/>
      </c>
      <c r="B76" s="49"/>
      <c r="C76" s="41"/>
      <c r="D76" s="41"/>
      <c r="E76" s="41"/>
      <c r="F76" s="41"/>
      <c r="G76" s="42" t="str">
        <f t="shared" si="20"/>
        <v/>
      </c>
      <c r="H76" s="236" t="str">
        <f t="shared" si="21"/>
        <v/>
      </c>
      <c r="I76" s="49"/>
      <c r="J76" s="41"/>
      <c r="K76" s="41"/>
      <c r="L76" s="41"/>
      <c r="M76" s="41"/>
      <c r="N76" s="42" t="str">
        <f t="shared" si="22"/>
        <v/>
      </c>
      <c r="O76" s="236" t="str">
        <f t="shared" si="23"/>
        <v/>
      </c>
      <c r="P76" s="49"/>
      <c r="Q76" s="41"/>
      <c r="R76" s="41"/>
      <c r="S76" s="41"/>
      <c r="T76" s="41"/>
      <c r="U76" s="42" t="str">
        <f t="shared" si="24"/>
        <v/>
      </c>
      <c r="V76" s="236" t="str">
        <f t="shared" si="25"/>
        <v/>
      </c>
    </row>
    <row r="77" spans="1:22" ht="18" customHeight="1">
      <c r="A77" s="74" t="str">
        <f>IF($C$9="Data Not Entered On Set-Up Worksheet","",IF(OR(VLOOKUP($C$9,County_Lookup,27,FALSE)="",VLOOKUP($C$9,County_Lookup,27,FALSE)=0),"",VLOOKUP($C$9,County_Lookup,27,FALSE)))</f>
        <v/>
      </c>
      <c r="B77" s="49"/>
      <c r="C77" s="41"/>
      <c r="D77" s="41"/>
      <c r="E77" s="41"/>
      <c r="F77" s="41"/>
      <c r="G77" s="42" t="str">
        <f t="shared" si="20"/>
        <v/>
      </c>
      <c r="H77" s="236" t="str">
        <f t="shared" si="21"/>
        <v/>
      </c>
      <c r="I77" s="49"/>
      <c r="J77" s="41"/>
      <c r="K77" s="41"/>
      <c r="L77" s="41"/>
      <c r="M77" s="41"/>
      <c r="N77" s="42" t="str">
        <f t="shared" si="22"/>
        <v/>
      </c>
      <c r="O77" s="236" t="str">
        <f t="shared" si="23"/>
        <v/>
      </c>
      <c r="P77" s="49"/>
      <c r="Q77" s="41"/>
      <c r="R77" s="41"/>
      <c r="S77" s="41"/>
      <c r="T77" s="41"/>
      <c r="U77" s="42" t="str">
        <f t="shared" si="24"/>
        <v/>
      </c>
      <c r="V77" s="236" t="str">
        <f t="shared" si="25"/>
        <v/>
      </c>
    </row>
    <row r="78" spans="1:22" ht="18" customHeight="1">
      <c r="A78" s="74" t="str">
        <f>IF($C$9="Data Not Entered On Set-Up Worksheet","",IF(OR(VLOOKUP($C$9,County_Lookup,28,FALSE)="",VLOOKUP($C$9,County_Lookup,28,FALSE)=0),"",VLOOKUP($C$9,County_Lookup,28,FALSE)))</f>
        <v/>
      </c>
      <c r="B78" s="49"/>
      <c r="C78" s="41"/>
      <c r="D78" s="41"/>
      <c r="E78" s="41"/>
      <c r="F78" s="41"/>
      <c r="G78" s="42" t="str">
        <f t="shared" si="14"/>
        <v/>
      </c>
      <c r="H78" s="236" t="str">
        <f t="shared" si="15"/>
        <v/>
      </c>
      <c r="I78" s="49"/>
      <c r="J78" s="41"/>
      <c r="K78" s="41"/>
      <c r="L78" s="41"/>
      <c r="M78" s="41"/>
      <c r="N78" s="42" t="str">
        <f t="shared" si="16"/>
        <v/>
      </c>
      <c r="O78" s="236" t="str">
        <f t="shared" si="17"/>
        <v/>
      </c>
      <c r="P78" s="49"/>
      <c r="Q78" s="41"/>
      <c r="R78" s="41"/>
      <c r="S78" s="41"/>
      <c r="T78" s="41"/>
      <c r="U78" s="42" t="str">
        <f t="shared" si="18"/>
        <v/>
      </c>
      <c r="V78" s="236" t="str">
        <f t="shared" si="19"/>
        <v/>
      </c>
    </row>
    <row r="79" spans="1:22" ht="18" customHeight="1" thickBot="1">
      <c r="A79" s="75" t="s">
        <v>0</v>
      </c>
      <c r="B79" s="237">
        <f>SUM(B52:B78)</f>
        <v>0</v>
      </c>
      <c r="C79" s="238">
        <f t="shared" ref="C79" si="26">SUM(C52:C78)</f>
        <v>0</v>
      </c>
      <c r="D79" s="238">
        <f t="shared" ref="D79" si="27">SUM(D52:D78)</f>
        <v>0</v>
      </c>
      <c r="E79" s="238">
        <f t="shared" ref="E79" si="28">SUM(E52:E78)</f>
        <v>0</v>
      </c>
      <c r="F79" s="238">
        <f t="shared" ref="F79" si="29">SUM(F52:F78)</f>
        <v>0</v>
      </c>
      <c r="G79" s="242">
        <f t="shared" si="14"/>
        <v>0</v>
      </c>
      <c r="H79" s="243">
        <f t="shared" si="15"/>
        <v>0</v>
      </c>
      <c r="I79" s="237">
        <f>SUM(I52:I78)</f>
        <v>0</v>
      </c>
      <c r="J79" s="238">
        <f t="shared" ref="J79" si="30">SUM(J52:J78)</f>
        <v>0</v>
      </c>
      <c r="K79" s="238">
        <f t="shared" ref="K79" si="31">SUM(K52:K78)</f>
        <v>0</v>
      </c>
      <c r="L79" s="238">
        <f t="shared" ref="L79" si="32">SUM(L52:L78)</f>
        <v>0</v>
      </c>
      <c r="M79" s="238">
        <f t="shared" ref="M79" si="33">SUM(M52:M78)</f>
        <v>0</v>
      </c>
      <c r="N79" s="242">
        <f t="shared" si="16"/>
        <v>0</v>
      </c>
      <c r="O79" s="243">
        <f t="shared" si="17"/>
        <v>0</v>
      </c>
      <c r="P79" s="237">
        <f>SUM(P52:P78)</f>
        <v>0</v>
      </c>
      <c r="Q79" s="238">
        <f t="shared" ref="Q79" si="34">SUM(Q52:Q78)</f>
        <v>0</v>
      </c>
      <c r="R79" s="238">
        <f t="shared" ref="R79" si="35">SUM(R52:R78)</f>
        <v>0</v>
      </c>
      <c r="S79" s="238">
        <f t="shared" ref="S79" si="36">SUM(S52:S78)</f>
        <v>0</v>
      </c>
      <c r="T79" s="238">
        <f t="shared" ref="T79" si="37">SUM(T52:T78)</f>
        <v>0</v>
      </c>
      <c r="U79" s="242">
        <f t="shared" si="18"/>
        <v>0</v>
      </c>
      <c r="V79" s="243">
        <f t="shared" si="19"/>
        <v>0</v>
      </c>
    </row>
    <row r="80" spans="1:22">
      <c r="B80" s="22" t="s">
        <v>323</v>
      </c>
      <c r="I80" s="22" t="s">
        <v>323</v>
      </c>
      <c r="P80" s="22" t="s">
        <v>323</v>
      </c>
    </row>
    <row r="81" spans="1:22" ht="20.100000000000001" customHeight="1">
      <c r="A81" s="205" t="s">
        <v>331</v>
      </c>
      <c r="B81" s="159" t="s">
        <v>334</v>
      </c>
      <c r="C81" s="159"/>
      <c r="D81" s="159"/>
      <c r="E81" s="159"/>
      <c r="F81" s="159"/>
      <c r="G81" s="159"/>
      <c r="H81" s="159"/>
      <c r="I81" s="159" t="s">
        <v>334</v>
      </c>
      <c r="J81" s="159"/>
      <c r="K81" s="159"/>
      <c r="L81" s="159"/>
      <c r="M81" s="159"/>
      <c r="N81" s="159"/>
      <c r="O81" s="159"/>
      <c r="P81" s="159" t="s">
        <v>334</v>
      </c>
      <c r="Q81" s="159"/>
      <c r="R81" s="159"/>
      <c r="S81" s="159"/>
      <c r="T81" s="159"/>
      <c r="U81" s="159"/>
      <c r="V81" s="159"/>
    </row>
    <row r="82" spans="1:22" ht="13.5" thickBot="1"/>
    <row r="83" spans="1:22" ht="18" customHeight="1" thickBot="1">
      <c r="A83" s="146" t="s">
        <v>252</v>
      </c>
      <c r="B83" s="150" t="s">
        <v>34</v>
      </c>
      <c r="C83" s="151"/>
      <c r="D83" s="151"/>
      <c r="E83" s="151"/>
      <c r="F83" s="151"/>
      <c r="G83" s="151"/>
      <c r="H83" s="152"/>
      <c r="I83" s="60" t="s">
        <v>189</v>
      </c>
      <c r="J83" s="147"/>
      <c r="K83" s="147"/>
      <c r="L83" s="147"/>
      <c r="M83" s="147"/>
      <c r="N83" s="147"/>
      <c r="O83" s="148"/>
      <c r="P83" s="150" t="s">
        <v>191</v>
      </c>
      <c r="Q83" s="151"/>
      <c r="R83" s="151"/>
      <c r="S83" s="151"/>
      <c r="T83" s="151"/>
      <c r="U83" s="151"/>
      <c r="V83" s="152"/>
    </row>
    <row r="84" spans="1:22" ht="13.5" thickBot="1">
      <c r="A84" s="30"/>
      <c r="B84" s="36" t="s">
        <v>3</v>
      </c>
      <c r="C84" s="36" t="s">
        <v>3</v>
      </c>
      <c r="D84" s="36"/>
      <c r="E84" s="36"/>
      <c r="F84" s="36" t="s">
        <v>4</v>
      </c>
      <c r="G84" s="36" t="s">
        <v>8</v>
      </c>
      <c r="H84" s="36" t="s">
        <v>8</v>
      </c>
      <c r="I84" s="36" t="s">
        <v>3</v>
      </c>
      <c r="J84" s="36" t="s">
        <v>3</v>
      </c>
      <c r="K84" s="36"/>
      <c r="L84" s="36"/>
      <c r="M84" s="36" t="s">
        <v>4</v>
      </c>
      <c r="N84" s="36" t="s">
        <v>8</v>
      </c>
      <c r="O84" s="36" t="s">
        <v>8</v>
      </c>
      <c r="P84" s="36" t="s">
        <v>3</v>
      </c>
      <c r="Q84" s="36" t="s">
        <v>3</v>
      </c>
      <c r="R84" s="36"/>
      <c r="S84" s="36"/>
      <c r="T84" s="36" t="s">
        <v>4</v>
      </c>
      <c r="U84" s="36" t="s">
        <v>8</v>
      </c>
      <c r="V84" s="36" t="s">
        <v>8</v>
      </c>
    </row>
    <row r="85" spans="1:22" ht="51">
      <c r="A85" s="72" t="s">
        <v>38</v>
      </c>
      <c r="B85" s="239" t="s">
        <v>30</v>
      </c>
      <c r="C85" s="240" t="s">
        <v>28</v>
      </c>
      <c r="D85" s="240" t="s">
        <v>325</v>
      </c>
      <c r="E85" s="240" t="s">
        <v>326</v>
      </c>
      <c r="F85" s="240" t="s">
        <v>25</v>
      </c>
      <c r="G85" s="240" t="s">
        <v>31</v>
      </c>
      <c r="H85" s="241" t="s">
        <v>29</v>
      </c>
      <c r="I85" s="233" t="s">
        <v>30</v>
      </c>
      <c r="J85" s="234" t="s">
        <v>28</v>
      </c>
      <c r="K85" s="234" t="s">
        <v>325</v>
      </c>
      <c r="L85" s="234" t="s">
        <v>326</v>
      </c>
      <c r="M85" s="234" t="s">
        <v>25</v>
      </c>
      <c r="N85" s="234" t="s">
        <v>31</v>
      </c>
      <c r="O85" s="235" t="s">
        <v>29</v>
      </c>
      <c r="P85" s="239" t="s">
        <v>30</v>
      </c>
      <c r="Q85" s="240" t="s">
        <v>28</v>
      </c>
      <c r="R85" s="240" t="s">
        <v>325</v>
      </c>
      <c r="S85" s="240" t="s">
        <v>326</v>
      </c>
      <c r="T85" s="240" t="s">
        <v>25</v>
      </c>
      <c r="U85" s="240" t="s">
        <v>31</v>
      </c>
      <c r="V85" s="241" t="s">
        <v>29</v>
      </c>
    </row>
    <row r="86" spans="1:22" ht="18" customHeight="1">
      <c r="A86" s="73" t="str">
        <f>IF($C$9="Data Not Entered On Set-Up Worksheet","",IF(OR(VLOOKUP($C$9,County_Lookup,2,FALSE)="",VLOOKUP($C$9,County_Lookup,2,FALSE)=0),"",VLOOKUP($C$9,County_Lookup,2,FALSE)))</f>
        <v/>
      </c>
      <c r="B86" s="49"/>
      <c r="C86" s="41"/>
      <c r="D86" s="41"/>
      <c r="E86" s="41"/>
      <c r="F86" s="41"/>
      <c r="G86" s="42" t="str">
        <f>IF($A86="","",IF($F86=0,0,B86/$F86))</f>
        <v/>
      </c>
      <c r="H86" s="236" t="str">
        <f>IF($A86="","",IF($F86=0,0,C86/$F86))</f>
        <v/>
      </c>
      <c r="I86" s="49"/>
      <c r="J86" s="41"/>
      <c r="K86" s="41"/>
      <c r="L86" s="41"/>
      <c r="M86" s="41"/>
      <c r="N86" s="42" t="str">
        <f>IF($A86="","",IF($M86=0,0,I86/$M86))</f>
        <v/>
      </c>
      <c r="O86" s="236" t="str">
        <f>IF($A86="","",IF($M86=0,0,J86/$M86))</f>
        <v/>
      </c>
      <c r="P86" s="49"/>
      <c r="Q86" s="41"/>
      <c r="R86" s="41"/>
      <c r="S86" s="41"/>
      <c r="T86" s="41"/>
      <c r="U86" s="42" t="str">
        <f>IF($A86="","",IF($T86=0,0,P86/$T86))</f>
        <v/>
      </c>
      <c r="V86" s="236" t="str">
        <f>IF($A86="","",IF($T86=0,0,Q86/$T86))</f>
        <v/>
      </c>
    </row>
    <row r="87" spans="1:22" ht="18" customHeight="1">
      <c r="A87" s="74" t="str">
        <f>IF($C$9="Data Not Entered On Set-Up Worksheet","",IF(OR(VLOOKUP($C$9,County_Lookup,3,FALSE)="",VLOOKUP($C$9,County_Lookup,3,FALSE)=0),"",VLOOKUP($C$9,County_Lookup,3,FALSE)))</f>
        <v/>
      </c>
      <c r="B87" s="49"/>
      <c r="C87" s="41"/>
      <c r="D87" s="41"/>
      <c r="E87" s="41"/>
      <c r="F87" s="41"/>
      <c r="G87" s="42" t="str">
        <f t="shared" ref="G87:G113" si="38">IF($A87="","",IF($F87=0,0,B87/$F87))</f>
        <v/>
      </c>
      <c r="H87" s="236" t="str">
        <f t="shared" ref="H87:H113" si="39">IF($A87="","",IF($F87=0,0,C87/$F87))</f>
        <v/>
      </c>
      <c r="I87" s="49"/>
      <c r="J87" s="41"/>
      <c r="K87" s="41"/>
      <c r="L87" s="41"/>
      <c r="M87" s="41"/>
      <c r="N87" s="42" t="str">
        <f t="shared" ref="N87:N113" si="40">IF($A87="","",IF($M87=0,0,I87/$M87))</f>
        <v/>
      </c>
      <c r="O87" s="236" t="str">
        <f t="shared" ref="O87:O113" si="41">IF($A87="","",IF($M87=0,0,J87/$M87))</f>
        <v/>
      </c>
      <c r="P87" s="49"/>
      <c r="Q87" s="41"/>
      <c r="R87" s="41"/>
      <c r="S87" s="41"/>
      <c r="T87" s="41"/>
      <c r="U87" s="42" t="str">
        <f t="shared" ref="U87:U113" si="42">IF($A87="","",IF($T87=0,0,P87/$T87))</f>
        <v/>
      </c>
      <c r="V87" s="236" t="str">
        <f t="shared" ref="V87:V113" si="43">IF($A87="","",IF($T87=0,0,Q87/$T87))</f>
        <v/>
      </c>
    </row>
    <row r="88" spans="1:22" ht="18" customHeight="1">
      <c r="A88" s="74" t="str">
        <f>IF($C$9="Data Not Entered On Set-Up Worksheet","",IF(OR(VLOOKUP($C$9,County_Lookup,4,FALSE)="",VLOOKUP($C$9,County_Lookup,4,FALSE)=0),"",VLOOKUP($C$9,County_Lookup,4,FALSE)))</f>
        <v/>
      </c>
      <c r="B88" s="49"/>
      <c r="C88" s="41"/>
      <c r="D88" s="41"/>
      <c r="E88" s="41"/>
      <c r="F88" s="41"/>
      <c r="G88" s="42" t="str">
        <f t="shared" si="38"/>
        <v/>
      </c>
      <c r="H88" s="236" t="str">
        <f t="shared" si="39"/>
        <v/>
      </c>
      <c r="I88" s="49"/>
      <c r="J88" s="41"/>
      <c r="K88" s="41"/>
      <c r="L88" s="41"/>
      <c r="M88" s="41"/>
      <c r="N88" s="42" t="str">
        <f t="shared" si="40"/>
        <v/>
      </c>
      <c r="O88" s="236" t="str">
        <f t="shared" si="41"/>
        <v/>
      </c>
      <c r="P88" s="49"/>
      <c r="Q88" s="41"/>
      <c r="R88" s="41"/>
      <c r="S88" s="41"/>
      <c r="T88" s="41"/>
      <c r="U88" s="42" t="str">
        <f t="shared" si="42"/>
        <v/>
      </c>
      <c r="V88" s="236" t="str">
        <f t="shared" si="43"/>
        <v/>
      </c>
    </row>
    <row r="89" spans="1:22" ht="18" customHeight="1">
      <c r="A89" s="74" t="str">
        <f>IF($C$9="Data Not Entered On Set-Up Worksheet","",IF(OR(VLOOKUP($C$9,County_Lookup,5,FALSE)="",VLOOKUP($C$9,County_Lookup,5,FALSE)=0),"",VLOOKUP($C$9,County_Lookup,5,FALSE)))</f>
        <v/>
      </c>
      <c r="B89" s="49"/>
      <c r="C89" s="41"/>
      <c r="D89" s="41"/>
      <c r="E89" s="41"/>
      <c r="F89" s="41"/>
      <c r="G89" s="42" t="str">
        <f t="shared" si="38"/>
        <v/>
      </c>
      <c r="H89" s="236" t="str">
        <f t="shared" si="39"/>
        <v/>
      </c>
      <c r="I89" s="49"/>
      <c r="J89" s="41"/>
      <c r="K89" s="41"/>
      <c r="L89" s="41"/>
      <c r="M89" s="41"/>
      <c r="N89" s="42" t="str">
        <f t="shared" si="40"/>
        <v/>
      </c>
      <c r="O89" s="236" t="str">
        <f t="shared" si="41"/>
        <v/>
      </c>
      <c r="P89" s="49"/>
      <c r="Q89" s="41"/>
      <c r="R89" s="41"/>
      <c r="S89" s="41"/>
      <c r="T89" s="41"/>
      <c r="U89" s="42" t="str">
        <f t="shared" si="42"/>
        <v/>
      </c>
      <c r="V89" s="236" t="str">
        <f t="shared" si="43"/>
        <v/>
      </c>
    </row>
    <row r="90" spans="1:22" ht="18" customHeight="1">
      <c r="A90" s="74" t="str">
        <f>IF($C$9="Data Not Entered On Set-Up Worksheet","",IF(OR(VLOOKUP($C$9,County_Lookup,6,FALSE)="",VLOOKUP($C$9,County_Lookup,6,FALSE)=0),"",VLOOKUP($C$9,County_Lookup,6,FALSE)))</f>
        <v/>
      </c>
      <c r="B90" s="49"/>
      <c r="C90" s="41"/>
      <c r="D90" s="41"/>
      <c r="E90" s="41"/>
      <c r="F90" s="41"/>
      <c r="G90" s="42" t="str">
        <f t="shared" si="38"/>
        <v/>
      </c>
      <c r="H90" s="236" t="str">
        <f t="shared" si="39"/>
        <v/>
      </c>
      <c r="I90" s="49"/>
      <c r="J90" s="41"/>
      <c r="K90" s="41"/>
      <c r="L90" s="41"/>
      <c r="M90" s="41"/>
      <c r="N90" s="42" t="str">
        <f t="shared" si="40"/>
        <v/>
      </c>
      <c r="O90" s="236" t="str">
        <f t="shared" si="41"/>
        <v/>
      </c>
      <c r="P90" s="49"/>
      <c r="Q90" s="41"/>
      <c r="R90" s="41"/>
      <c r="S90" s="41"/>
      <c r="T90" s="41"/>
      <c r="U90" s="42" t="str">
        <f t="shared" si="42"/>
        <v/>
      </c>
      <c r="V90" s="236" t="str">
        <f t="shared" si="43"/>
        <v/>
      </c>
    </row>
    <row r="91" spans="1:22" ht="18" customHeight="1">
      <c r="A91" s="74" t="str">
        <f>IF($C$9="Data Not Entered On Set-Up Worksheet","",IF(OR(VLOOKUP($C$9,County_Lookup,7,FALSE)="",VLOOKUP($C$9,County_Lookup,7,FALSE)=0),"",VLOOKUP($C$9,County_Lookup,7,FALSE)))</f>
        <v/>
      </c>
      <c r="B91" s="49"/>
      <c r="C91" s="41"/>
      <c r="D91" s="41"/>
      <c r="E91" s="41"/>
      <c r="F91" s="41"/>
      <c r="G91" s="42" t="str">
        <f t="shared" si="38"/>
        <v/>
      </c>
      <c r="H91" s="236" t="str">
        <f t="shared" si="39"/>
        <v/>
      </c>
      <c r="I91" s="49"/>
      <c r="J91" s="41"/>
      <c r="K91" s="41"/>
      <c r="L91" s="41"/>
      <c r="M91" s="41"/>
      <c r="N91" s="42" t="str">
        <f t="shared" si="40"/>
        <v/>
      </c>
      <c r="O91" s="236" t="str">
        <f t="shared" si="41"/>
        <v/>
      </c>
      <c r="P91" s="49"/>
      <c r="Q91" s="41"/>
      <c r="R91" s="41"/>
      <c r="S91" s="41"/>
      <c r="T91" s="41"/>
      <c r="U91" s="42" t="str">
        <f t="shared" si="42"/>
        <v/>
      </c>
      <c r="V91" s="236" t="str">
        <f t="shared" si="43"/>
        <v/>
      </c>
    </row>
    <row r="92" spans="1:22" ht="18" customHeight="1">
      <c r="A92" s="73" t="str">
        <f>IF($C$9="Data Not Entered On Set-Up Worksheet","",IF(OR(VLOOKUP($C$9,County_Lookup,8,FALSE)="",VLOOKUP($C$9,County_Lookup,8,FALSE)=0),"",VLOOKUP($C$9,County_Lookup,8,FALSE)))</f>
        <v/>
      </c>
      <c r="B92" s="49"/>
      <c r="C92" s="41"/>
      <c r="D92" s="41"/>
      <c r="E92" s="41"/>
      <c r="F92" s="41"/>
      <c r="G92" s="42" t="str">
        <f t="shared" si="38"/>
        <v/>
      </c>
      <c r="H92" s="236" t="str">
        <f t="shared" si="39"/>
        <v/>
      </c>
      <c r="I92" s="49"/>
      <c r="J92" s="41"/>
      <c r="K92" s="41"/>
      <c r="L92" s="41"/>
      <c r="M92" s="41"/>
      <c r="N92" s="42" t="str">
        <f t="shared" si="40"/>
        <v/>
      </c>
      <c r="O92" s="236" t="str">
        <f t="shared" si="41"/>
        <v/>
      </c>
      <c r="P92" s="49"/>
      <c r="Q92" s="41"/>
      <c r="R92" s="41"/>
      <c r="S92" s="41"/>
      <c r="T92" s="41"/>
      <c r="U92" s="42" t="str">
        <f t="shared" si="42"/>
        <v/>
      </c>
      <c r="V92" s="236" t="str">
        <f t="shared" si="43"/>
        <v/>
      </c>
    </row>
    <row r="93" spans="1:22" ht="18" customHeight="1">
      <c r="A93" s="74" t="str">
        <f>IF($C$9="Data Not Entered On Set-Up Worksheet","",IF(OR(VLOOKUP($C$9,County_Lookup,9,FALSE)="",VLOOKUP($C$9,County_Lookup,9,FALSE)=0),"",VLOOKUP($C$9,County_Lookup,9,FALSE)))</f>
        <v/>
      </c>
      <c r="B93" s="49"/>
      <c r="C93" s="41"/>
      <c r="D93" s="41"/>
      <c r="E93" s="41"/>
      <c r="F93" s="41"/>
      <c r="G93" s="42" t="str">
        <f t="shared" si="38"/>
        <v/>
      </c>
      <c r="H93" s="236" t="str">
        <f t="shared" si="39"/>
        <v/>
      </c>
      <c r="I93" s="49"/>
      <c r="J93" s="41"/>
      <c r="K93" s="41"/>
      <c r="L93" s="41"/>
      <c r="M93" s="41"/>
      <c r="N93" s="42" t="str">
        <f t="shared" si="40"/>
        <v/>
      </c>
      <c r="O93" s="236" t="str">
        <f t="shared" si="41"/>
        <v/>
      </c>
      <c r="P93" s="49"/>
      <c r="Q93" s="41"/>
      <c r="R93" s="41"/>
      <c r="S93" s="41"/>
      <c r="T93" s="41"/>
      <c r="U93" s="42" t="str">
        <f t="shared" si="42"/>
        <v/>
      </c>
      <c r="V93" s="236" t="str">
        <f t="shared" si="43"/>
        <v/>
      </c>
    </row>
    <row r="94" spans="1:22" ht="18" customHeight="1">
      <c r="A94" s="74" t="str">
        <f>IF($C$9="Data Not Entered On Set-Up Worksheet","",IF(OR(VLOOKUP($C$9,County_Lookup,10,FALSE)="",VLOOKUP($C$9,County_Lookup,10,FALSE)=0),"",VLOOKUP($C$9,County_Lookup,10,FALSE)))</f>
        <v/>
      </c>
      <c r="B94" s="49"/>
      <c r="C94" s="41"/>
      <c r="D94" s="41"/>
      <c r="E94" s="41"/>
      <c r="F94" s="41"/>
      <c r="G94" s="42" t="str">
        <f t="shared" si="38"/>
        <v/>
      </c>
      <c r="H94" s="236" t="str">
        <f t="shared" si="39"/>
        <v/>
      </c>
      <c r="I94" s="49"/>
      <c r="J94" s="41"/>
      <c r="K94" s="41"/>
      <c r="L94" s="41"/>
      <c r="M94" s="41"/>
      <c r="N94" s="42" t="str">
        <f t="shared" si="40"/>
        <v/>
      </c>
      <c r="O94" s="236" t="str">
        <f t="shared" si="41"/>
        <v/>
      </c>
      <c r="P94" s="49"/>
      <c r="Q94" s="41"/>
      <c r="R94" s="41"/>
      <c r="S94" s="41"/>
      <c r="T94" s="41"/>
      <c r="U94" s="42" t="str">
        <f t="shared" si="42"/>
        <v/>
      </c>
      <c r="V94" s="236" t="str">
        <f t="shared" si="43"/>
        <v/>
      </c>
    </row>
    <row r="95" spans="1:22" ht="18" customHeight="1">
      <c r="A95" s="74" t="str">
        <f>IF($C$9="Data Not Entered On Set-Up Worksheet","",IF(OR(VLOOKUP($C$9,County_Lookup,11,FALSE)="",VLOOKUP($C$9,County_Lookup,11,FALSE)=0),"",VLOOKUP($C$9,County_Lookup,11,FALSE)))</f>
        <v/>
      </c>
      <c r="B95" s="49"/>
      <c r="C95" s="41"/>
      <c r="D95" s="41"/>
      <c r="E95" s="41"/>
      <c r="F95" s="41"/>
      <c r="G95" s="42" t="str">
        <f t="shared" si="38"/>
        <v/>
      </c>
      <c r="H95" s="236" t="str">
        <f t="shared" si="39"/>
        <v/>
      </c>
      <c r="I95" s="49"/>
      <c r="J95" s="41"/>
      <c r="K95" s="41"/>
      <c r="L95" s="41"/>
      <c r="M95" s="41"/>
      <c r="N95" s="42" t="str">
        <f t="shared" si="40"/>
        <v/>
      </c>
      <c r="O95" s="236" t="str">
        <f t="shared" si="41"/>
        <v/>
      </c>
      <c r="P95" s="49"/>
      <c r="Q95" s="41"/>
      <c r="R95" s="41"/>
      <c r="S95" s="41"/>
      <c r="T95" s="41"/>
      <c r="U95" s="42" t="str">
        <f t="shared" si="42"/>
        <v/>
      </c>
      <c r="V95" s="236" t="str">
        <f t="shared" si="43"/>
        <v/>
      </c>
    </row>
    <row r="96" spans="1:22" ht="18" customHeight="1">
      <c r="A96" s="74" t="str">
        <f>IF($C$9="Data Not Entered On Set-Up Worksheet","",IF(OR(VLOOKUP($C$9,County_Lookup,12,FALSE)="",VLOOKUP($C$9,County_Lookup,12,FALSE)=0),"",VLOOKUP($C$9,County_Lookup,12,FALSE)))</f>
        <v/>
      </c>
      <c r="B96" s="49"/>
      <c r="C96" s="41"/>
      <c r="D96" s="41"/>
      <c r="E96" s="41"/>
      <c r="F96" s="41"/>
      <c r="G96" s="42" t="str">
        <f t="shared" si="38"/>
        <v/>
      </c>
      <c r="H96" s="236" t="str">
        <f t="shared" si="39"/>
        <v/>
      </c>
      <c r="I96" s="49"/>
      <c r="J96" s="41"/>
      <c r="K96" s="41"/>
      <c r="L96" s="41"/>
      <c r="M96" s="41"/>
      <c r="N96" s="42" t="str">
        <f t="shared" si="40"/>
        <v/>
      </c>
      <c r="O96" s="236" t="str">
        <f t="shared" si="41"/>
        <v/>
      </c>
      <c r="P96" s="49"/>
      <c r="Q96" s="41"/>
      <c r="R96" s="41"/>
      <c r="S96" s="41"/>
      <c r="T96" s="41"/>
      <c r="U96" s="42" t="str">
        <f t="shared" si="42"/>
        <v/>
      </c>
      <c r="V96" s="236" t="str">
        <f t="shared" si="43"/>
        <v/>
      </c>
    </row>
    <row r="97" spans="1:22" ht="18" customHeight="1">
      <c r="A97" s="74" t="str">
        <f>IF($C$9="Data Not Entered On Set-Up Worksheet","",IF(OR(VLOOKUP($C$9,County_Lookup,13,FALSE)="",VLOOKUP($C$9,County_Lookup,13,FALSE)=0),"",VLOOKUP($C$9,County_Lookup,13,FALSE)))</f>
        <v/>
      </c>
      <c r="B97" s="49"/>
      <c r="C97" s="41"/>
      <c r="D97" s="41"/>
      <c r="E97" s="41"/>
      <c r="F97" s="41"/>
      <c r="G97" s="42" t="str">
        <f t="shared" si="38"/>
        <v/>
      </c>
      <c r="H97" s="236" t="str">
        <f t="shared" si="39"/>
        <v/>
      </c>
      <c r="I97" s="49"/>
      <c r="J97" s="41"/>
      <c r="K97" s="41"/>
      <c r="L97" s="41"/>
      <c r="M97" s="41"/>
      <c r="N97" s="42" t="str">
        <f t="shared" si="40"/>
        <v/>
      </c>
      <c r="O97" s="236" t="str">
        <f t="shared" si="41"/>
        <v/>
      </c>
      <c r="P97" s="49"/>
      <c r="Q97" s="41"/>
      <c r="R97" s="41"/>
      <c r="S97" s="41"/>
      <c r="T97" s="41"/>
      <c r="U97" s="42" t="str">
        <f t="shared" si="42"/>
        <v/>
      </c>
      <c r="V97" s="236" t="str">
        <f t="shared" si="43"/>
        <v/>
      </c>
    </row>
    <row r="98" spans="1:22" ht="18" customHeight="1">
      <c r="A98" s="74" t="str">
        <f>IF($C$9="Data Not Entered On Set-Up Worksheet","",IF(OR(VLOOKUP($C$9,County_Lookup,14,FALSE)="",VLOOKUP($C$9,County_Lookup,14,FALSE)=0),"",VLOOKUP($C$9,County_Lookup,14,FALSE)))</f>
        <v/>
      </c>
      <c r="B98" s="49"/>
      <c r="C98" s="41"/>
      <c r="D98" s="41"/>
      <c r="E98" s="41"/>
      <c r="F98" s="41"/>
      <c r="G98" s="42" t="str">
        <f t="shared" si="38"/>
        <v/>
      </c>
      <c r="H98" s="236" t="str">
        <f t="shared" si="39"/>
        <v/>
      </c>
      <c r="I98" s="49"/>
      <c r="J98" s="41"/>
      <c r="K98" s="41"/>
      <c r="L98" s="41"/>
      <c r="M98" s="41"/>
      <c r="N98" s="42" t="str">
        <f t="shared" si="40"/>
        <v/>
      </c>
      <c r="O98" s="236" t="str">
        <f t="shared" si="41"/>
        <v/>
      </c>
      <c r="P98" s="49"/>
      <c r="Q98" s="41"/>
      <c r="R98" s="41"/>
      <c r="S98" s="41"/>
      <c r="T98" s="41"/>
      <c r="U98" s="42" t="str">
        <f t="shared" si="42"/>
        <v/>
      </c>
      <c r="V98" s="236" t="str">
        <f t="shared" si="43"/>
        <v/>
      </c>
    </row>
    <row r="99" spans="1:22" ht="18" customHeight="1">
      <c r="A99" s="73" t="str">
        <f>IF($C$9="Data Not Entered On Set-Up Worksheet","",IF(OR(VLOOKUP($C$9,County_Lookup,15,FALSE)="",VLOOKUP($C$9,County_Lookup,15,FALSE)=0),"",VLOOKUP($C$9,County_Lookup,15,FALSE)))</f>
        <v/>
      </c>
      <c r="B99" s="49"/>
      <c r="C99" s="41"/>
      <c r="D99" s="41"/>
      <c r="E99" s="41"/>
      <c r="F99" s="41"/>
      <c r="G99" s="42" t="str">
        <f t="shared" si="38"/>
        <v/>
      </c>
      <c r="H99" s="236" t="str">
        <f t="shared" si="39"/>
        <v/>
      </c>
      <c r="I99" s="49"/>
      <c r="J99" s="41"/>
      <c r="K99" s="41"/>
      <c r="L99" s="41"/>
      <c r="M99" s="41"/>
      <c r="N99" s="42" t="str">
        <f t="shared" si="40"/>
        <v/>
      </c>
      <c r="O99" s="236" t="str">
        <f t="shared" si="41"/>
        <v/>
      </c>
      <c r="P99" s="49"/>
      <c r="Q99" s="41"/>
      <c r="R99" s="41"/>
      <c r="S99" s="41"/>
      <c r="T99" s="41"/>
      <c r="U99" s="42" t="str">
        <f t="shared" si="42"/>
        <v/>
      </c>
      <c r="V99" s="236" t="str">
        <f t="shared" si="43"/>
        <v/>
      </c>
    </row>
    <row r="100" spans="1:22" ht="18" customHeight="1">
      <c r="A100" s="74" t="str">
        <f>IF($C$9="Data Not Entered On Set-Up Worksheet","",IF(OR(VLOOKUP($C$9,County_Lookup,16,FALSE)="",VLOOKUP($C$9,County_Lookup,16,FALSE)=0),"",VLOOKUP($C$9,County_Lookup,16,FALSE)))</f>
        <v/>
      </c>
      <c r="B100" s="49"/>
      <c r="C100" s="41"/>
      <c r="D100" s="41"/>
      <c r="E100" s="41"/>
      <c r="F100" s="41"/>
      <c r="G100" s="42" t="str">
        <f t="shared" si="38"/>
        <v/>
      </c>
      <c r="H100" s="236" t="str">
        <f t="shared" si="39"/>
        <v/>
      </c>
      <c r="I100" s="49"/>
      <c r="J100" s="41"/>
      <c r="K100" s="41"/>
      <c r="L100" s="41"/>
      <c r="M100" s="41"/>
      <c r="N100" s="42" t="str">
        <f t="shared" si="40"/>
        <v/>
      </c>
      <c r="O100" s="236" t="str">
        <f t="shared" si="41"/>
        <v/>
      </c>
      <c r="P100" s="49"/>
      <c r="Q100" s="41"/>
      <c r="R100" s="41"/>
      <c r="S100" s="41"/>
      <c r="T100" s="41"/>
      <c r="U100" s="42" t="str">
        <f t="shared" si="42"/>
        <v/>
      </c>
      <c r="V100" s="236" t="str">
        <f t="shared" si="43"/>
        <v/>
      </c>
    </row>
    <row r="101" spans="1:22" ht="18" customHeight="1">
      <c r="A101" s="74" t="str">
        <f>IF($C$9="Data Not Entered On Set-Up Worksheet","",IF(OR(VLOOKUP($C$9,County_Lookup,17,FALSE)="",VLOOKUP($C$9,County_Lookup,17,FALSE)=0),"",VLOOKUP($C$9,County_Lookup,17,FALSE)))</f>
        <v/>
      </c>
      <c r="B101" s="49"/>
      <c r="C101" s="41"/>
      <c r="D101" s="41"/>
      <c r="E101" s="41"/>
      <c r="F101" s="41"/>
      <c r="G101" s="42" t="str">
        <f t="shared" si="38"/>
        <v/>
      </c>
      <c r="H101" s="236" t="str">
        <f t="shared" si="39"/>
        <v/>
      </c>
      <c r="I101" s="49"/>
      <c r="J101" s="41"/>
      <c r="K101" s="41"/>
      <c r="L101" s="41"/>
      <c r="M101" s="41"/>
      <c r="N101" s="42" t="str">
        <f t="shared" si="40"/>
        <v/>
      </c>
      <c r="O101" s="236" t="str">
        <f t="shared" si="41"/>
        <v/>
      </c>
      <c r="P101" s="49"/>
      <c r="Q101" s="41"/>
      <c r="R101" s="41"/>
      <c r="S101" s="41"/>
      <c r="T101" s="41"/>
      <c r="U101" s="42" t="str">
        <f t="shared" si="42"/>
        <v/>
      </c>
      <c r="V101" s="236" t="str">
        <f t="shared" si="43"/>
        <v/>
      </c>
    </row>
    <row r="102" spans="1:22" ht="18" customHeight="1">
      <c r="A102" s="74" t="str">
        <f>IF($C$9="Data Not Entered On Set-Up Worksheet","",IF(OR(VLOOKUP($C$9,County_Lookup,18,FALSE)="",VLOOKUP($C$9,County_Lookup,18,FALSE)=0),"",VLOOKUP($C$9,County_Lookup,18,FALSE)))</f>
        <v/>
      </c>
      <c r="B102" s="49"/>
      <c r="C102" s="41"/>
      <c r="D102" s="41"/>
      <c r="E102" s="41"/>
      <c r="F102" s="41"/>
      <c r="G102" s="42" t="str">
        <f t="shared" si="38"/>
        <v/>
      </c>
      <c r="H102" s="236" t="str">
        <f t="shared" si="39"/>
        <v/>
      </c>
      <c r="I102" s="49"/>
      <c r="J102" s="41"/>
      <c r="K102" s="41"/>
      <c r="L102" s="41"/>
      <c r="M102" s="41"/>
      <c r="N102" s="42" t="str">
        <f t="shared" si="40"/>
        <v/>
      </c>
      <c r="O102" s="236" t="str">
        <f t="shared" si="41"/>
        <v/>
      </c>
      <c r="P102" s="49"/>
      <c r="Q102" s="41"/>
      <c r="R102" s="41"/>
      <c r="S102" s="41"/>
      <c r="T102" s="41"/>
      <c r="U102" s="42" t="str">
        <f t="shared" si="42"/>
        <v/>
      </c>
      <c r="V102" s="236" t="str">
        <f t="shared" si="43"/>
        <v/>
      </c>
    </row>
    <row r="103" spans="1:22" ht="18" customHeight="1">
      <c r="A103" s="74" t="str">
        <f>IF($C$9="Data Not Entered On Set-Up Worksheet","",IF(OR(VLOOKUP($C$9,County_Lookup,19,FALSE)="",VLOOKUP($C$9,County_Lookup,19,FALSE)=0),"",VLOOKUP($C$9,County_Lookup,19,FALSE)))</f>
        <v/>
      </c>
      <c r="B103" s="49"/>
      <c r="C103" s="41"/>
      <c r="D103" s="41"/>
      <c r="E103" s="41"/>
      <c r="F103" s="41"/>
      <c r="G103" s="42" t="str">
        <f t="shared" si="38"/>
        <v/>
      </c>
      <c r="H103" s="236" t="str">
        <f t="shared" si="39"/>
        <v/>
      </c>
      <c r="I103" s="49"/>
      <c r="J103" s="41"/>
      <c r="K103" s="41"/>
      <c r="L103" s="41"/>
      <c r="M103" s="41"/>
      <c r="N103" s="42" t="str">
        <f t="shared" si="40"/>
        <v/>
      </c>
      <c r="O103" s="236" t="str">
        <f t="shared" si="41"/>
        <v/>
      </c>
      <c r="P103" s="49"/>
      <c r="Q103" s="41"/>
      <c r="R103" s="41"/>
      <c r="S103" s="41"/>
      <c r="T103" s="41"/>
      <c r="U103" s="42" t="str">
        <f t="shared" si="42"/>
        <v/>
      </c>
      <c r="V103" s="236" t="str">
        <f t="shared" si="43"/>
        <v/>
      </c>
    </row>
    <row r="104" spans="1:22" ht="18" customHeight="1">
      <c r="A104" s="74" t="str">
        <f>IF($C$9="Data Not Entered On Set-Up Worksheet","",IF(OR(VLOOKUP($C$9,County_Lookup,20,FALSE)="",VLOOKUP($C$9,County_Lookup,20,FALSE)=0),"",VLOOKUP($C$9,County_Lookup,20,FALSE)))</f>
        <v/>
      </c>
      <c r="B104" s="49"/>
      <c r="C104" s="41"/>
      <c r="D104" s="41"/>
      <c r="E104" s="41"/>
      <c r="F104" s="41"/>
      <c r="G104" s="42" t="str">
        <f t="shared" si="38"/>
        <v/>
      </c>
      <c r="H104" s="236" t="str">
        <f t="shared" si="39"/>
        <v/>
      </c>
      <c r="I104" s="49"/>
      <c r="J104" s="41"/>
      <c r="K104" s="41"/>
      <c r="L104" s="41"/>
      <c r="M104" s="41"/>
      <c r="N104" s="42" t="str">
        <f t="shared" si="40"/>
        <v/>
      </c>
      <c r="O104" s="236" t="str">
        <f t="shared" si="41"/>
        <v/>
      </c>
      <c r="P104" s="49"/>
      <c r="Q104" s="41"/>
      <c r="R104" s="41"/>
      <c r="S104" s="41"/>
      <c r="T104" s="41"/>
      <c r="U104" s="42" t="str">
        <f t="shared" si="42"/>
        <v/>
      </c>
      <c r="V104" s="236" t="str">
        <f t="shared" si="43"/>
        <v/>
      </c>
    </row>
    <row r="105" spans="1:22" ht="18" customHeight="1">
      <c r="A105" s="74" t="str">
        <f>IF($C$9="Data Not Entered On Set-Up Worksheet","",IF(OR(VLOOKUP($C$9,County_Lookup,21,FALSE)="",VLOOKUP($C$9,County_Lookup,21,FALSE)=0),"",VLOOKUP($C$9,County_Lookup,21,FALSE)))</f>
        <v/>
      </c>
      <c r="B105" s="49"/>
      <c r="C105" s="41"/>
      <c r="D105" s="41"/>
      <c r="E105" s="41"/>
      <c r="F105" s="41"/>
      <c r="G105" s="42" t="str">
        <f t="shared" si="38"/>
        <v/>
      </c>
      <c r="H105" s="236" t="str">
        <f t="shared" si="39"/>
        <v/>
      </c>
      <c r="I105" s="49"/>
      <c r="J105" s="41"/>
      <c r="K105" s="41"/>
      <c r="L105" s="41"/>
      <c r="M105" s="41"/>
      <c r="N105" s="42" t="str">
        <f t="shared" si="40"/>
        <v/>
      </c>
      <c r="O105" s="236" t="str">
        <f t="shared" si="41"/>
        <v/>
      </c>
      <c r="P105" s="49"/>
      <c r="Q105" s="41"/>
      <c r="R105" s="41"/>
      <c r="S105" s="41"/>
      <c r="T105" s="41"/>
      <c r="U105" s="42" t="str">
        <f t="shared" si="42"/>
        <v/>
      </c>
      <c r="V105" s="236" t="str">
        <f t="shared" si="43"/>
        <v/>
      </c>
    </row>
    <row r="106" spans="1:22" ht="18" customHeight="1">
      <c r="A106" s="73" t="str">
        <f>IF($C$9="Data Not Entered On Set-Up Worksheet","",IF(OR(VLOOKUP($C$9,County_Lookup,22,FALSE)="",VLOOKUP($C$9,County_Lookup,22,FALSE)=0),"",VLOOKUP($C$9,County_Lookup,22,FALSE)))</f>
        <v/>
      </c>
      <c r="B106" s="49"/>
      <c r="C106" s="41"/>
      <c r="D106" s="41"/>
      <c r="E106" s="41"/>
      <c r="F106" s="41"/>
      <c r="G106" s="42" t="str">
        <f t="shared" si="38"/>
        <v/>
      </c>
      <c r="H106" s="236" t="str">
        <f t="shared" si="39"/>
        <v/>
      </c>
      <c r="I106" s="49"/>
      <c r="J106" s="41"/>
      <c r="K106" s="41"/>
      <c r="L106" s="41"/>
      <c r="M106" s="41"/>
      <c r="N106" s="42" t="str">
        <f t="shared" si="40"/>
        <v/>
      </c>
      <c r="O106" s="236" t="str">
        <f t="shared" si="41"/>
        <v/>
      </c>
      <c r="P106" s="49"/>
      <c r="Q106" s="41"/>
      <c r="R106" s="41"/>
      <c r="S106" s="41"/>
      <c r="T106" s="41"/>
      <c r="U106" s="42" t="str">
        <f t="shared" si="42"/>
        <v/>
      </c>
      <c r="V106" s="236" t="str">
        <f t="shared" si="43"/>
        <v/>
      </c>
    </row>
    <row r="107" spans="1:22" ht="18" customHeight="1">
      <c r="A107" s="74" t="str">
        <f>IF($C$9="Data Not Entered On Set-Up Worksheet","",IF(OR(VLOOKUP($C$9,County_Lookup,23,FALSE)="",VLOOKUP($C$9,County_Lookup,23,FALSE)=0),"",VLOOKUP($C$9,County_Lookup,23,FALSE)))</f>
        <v/>
      </c>
      <c r="B107" s="49"/>
      <c r="C107" s="41"/>
      <c r="D107" s="41"/>
      <c r="E107" s="41"/>
      <c r="F107" s="41"/>
      <c r="G107" s="42" t="str">
        <f t="shared" si="38"/>
        <v/>
      </c>
      <c r="H107" s="236" t="str">
        <f t="shared" si="39"/>
        <v/>
      </c>
      <c r="I107" s="49"/>
      <c r="J107" s="41"/>
      <c r="K107" s="41"/>
      <c r="L107" s="41"/>
      <c r="M107" s="41"/>
      <c r="N107" s="42" t="str">
        <f t="shared" si="40"/>
        <v/>
      </c>
      <c r="O107" s="236" t="str">
        <f t="shared" si="41"/>
        <v/>
      </c>
      <c r="P107" s="49"/>
      <c r="Q107" s="41"/>
      <c r="R107" s="41"/>
      <c r="S107" s="41"/>
      <c r="T107" s="41"/>
      <c r="U107" s="42" t="str">
        <f t="shared" si="42"/>
        <v/>
      </c>
      <c r="V107" s="236" t="str">
        <f t="shared" si="43"/>
        <v/>
      </c>
    </row>
    <row r="108" spans="1:22" ht="18" customHeight="1">
      <c r="A108" s="74" t="str">
        <f>IF($C$9="Data Not Entered On Set-Up Worksheet","",IF(OR(VLOOKUP($C$9,County_Lookup,24,FALSE)="",VLOOKUP($C$9,County_Lookup,24,FALSE)=0),"",VLOOKUP($C$9,County_Lookup,24,FALSE)))</f>
        <v/>
      </c>
      <c r="B108" s="49"/>
      <c r="C108" s="41"/>
      <c r="D108" s="41"/>
      <c r="E108" s="41"/>
      <c r="F108" s="41"/>
      <c r="G108" s="42" t="str">
        <f t="shared" ref="G108:G111" si="44">IF($A108="","",IF($F108=0,0,B108/$F108))</f>
        <v/>
      </c>
      <c r="H108" s="236" t="str">
        <f t="shared" ref="H108:H111" si="45">IF($A108="","",IF($F108=0,0,C108/$F108))</f>
        <v/>
      </c>
      <c r="I108" s="49"/>
      <c r="J108" s="41"/>
      <c r="K108" s="41"/>
      <c r="L108" s="41"/>
      <c r="M108" s="41"/>
      <c r="N108" s="42" t="str">
        <f t="shared" ref="N108:N111" si="46">IF($A108="","",IF($M108=0,0,I108/$M108))</f>
        <v/>
      </c>
      <c r="O108" s="236" t="str">
        <f t="shared" ref="O108:O111" si="47">IF($A108="","",IF($M108=0,0,J108/$M108))</f>
        <v/>
      </c>
      <c r="P108" s="49"/>
      <c r="Q108" s="41"/>
      <c r="R108" s="41"/>
      <c r="S108" s="41"/>
      <c r="T108" s="41"/>
      <c r="U108" s="42" t="str">
        <f t="shared" ref="U108:U111" si="48">IF($A108="","",IF($T108=0,0,P108/$T108))</f>
        <v/>
      </c>
      <c r="V108" s="236" t="str">
        <f t="shared" ref="V108:V111" si="49">IF($A108="","",IF($T108=0,0,Q108/$T108))</f>
        <v/>
      </c>
    </row>
    <row r="109" spans="1:22" ht="18" customHeight="1">
      <c r="A109" s="74" t="str">
        <f>IF($C$9="Data Not Entered On Set-Up Worksheet","",IF(OR(VLOOKUP($C$9,County_Lookup,25,FALSE)="",VLOOKUP($C$9,County_Lookup,25,FALSE)=0),"",VLOOKUP($C$9,County_Lookup,25,FALSE)))</f>
        <v/>
      </c>
      <c r="B109" s="49"/>
      <c r="C109" s="41"/>
      <c r="D109" s="41"/>
      <c r="E109" s="41"/>
      <c r="F109" s="41"/>
      <c r="G109" s="42" t="str">
        <f t="shared" si="44"/>
        <v/>
      </c>
      <c r="H109" s="236" t="str">
        <f t="shared" si="45"/>
        <v/>
      </c>
      <c r="I109" s="49"/>
      <c r="J109" s="41"/>
      <c r="K109" s="41"/>
      <c r="L109" s="41"/>
      <c r="M109" s="41"/>
      <c r="N109" s="42" t="str">
        <f t="shared" si="46"/>
        <v/>
      </c>
      <c r="O109" s="236" t="str">
        <f t="shared" si="47"/>
        <v/>
      </c>
      <c r="P109" s="49"/>
      <c r="Q109" s="41"/>
      <c r="R109" s="41"/>
      <c r="S109" s="41"/>
      <c r="T109" s="41"/>
      <c r="U109" s="42" t="str">
        <f t="shared" si="48"/>
        <v/>
      </c>
      <c r="V109" s="236" t="str">
        <f t="shared" si="49"/>
        <v/>
      </c>
    </row>
    <row r="110" spans="1:22" ht="18" customHeight="1">
      <c r="A110" s="74" t="str">
        <f>IF($C$9="Data Not Entered On Set-Up Worksheet","",IF(OR(VLOOKUP($C$9,County_Lookup,26,FALSE)="",VLOOKUP($C$9,County_Lookup,26,FALSE)=0),"",VLOOKUP($C$9,County_Lookup,26,FALSE)))</f>
        <v/>
      </c>
      <c r="B110" s="49"/>
      <c r="C110" s="41"/>
      <c r="D110" s="41"/>
      <c r="E110" s="41"/>
      <c r="F110" s="41"/>
      <c r="G110" s="42" t="str">
        <f t="shared" si="44"/>
        <v/>
      </c>
      <c r="H110" s="236" t="str">
        <f t="shared" si="45"/>
        <v/>
      </c>
      <c r="I110" s="49"/>
      <c r="J110" s="41"/>
      <c r="K110" s="41"/>
      <c r="L110" s="41"/>
      <c r="M110" s="41"/>
      <c r="N110" s="42" t="str">
        <f t="shared" si="46"/>
        <v/>
      </c>
      <c r="O110" s="236" t="str">
        <f t="shared" si="47"/>
        <v/>
      </c>
      <c r="P110" s="49"/>
      <c r="Q110" s="41"/>
      <c r="R110" s="41"/>
      <c r="S110" s="41"/>
      <c r="T110" s="41"/>
      <c r="U110" s="42" t="str">
        <f t="shared" si="48"/>
        <v/>
      </c>
      <c r="V110" s="236" t="str">
        <f t="shared" si="49"/>
        <v/>
      </c>
    </row>
    <row r="111" spans="1:22" ht="18" customHeight="1">
      <c r="A111" s="74" t="str">
        <f>IF($C$9="Data Not Entered On Set-Up Worksheet","",IF(OR(VLOOKUP($C$9,County_Lookup,27,FALSE)="",VLOOKUP($C$9,County_Lookup,27,FALSE)=0),"",VLOOKUP($C$9,County_Lookup,27,FALSE)))</f>
        <v/>
      </c>
      <c r="B111" s="49"/>
      <c r="C111" s="41"/>
      <c r="D111" s="41"/>
      <c r="E111" s="41"/>
      <c r="F111" s="41"/>
      <c r="G111" s="42" t="str">
        <f t="shared" si="44"/>
        <v/>
      </c>
      <c r="H111" s="236" t="str">
        <f t="shared" si="45"/>
        <v/>
      </c>
      <c r="I111" s="49"/>
      <c r="J111" s="41"/>
      <c r="K111" s="41"/>
      <c r="L111" s="41"/>
      <c r="M111" s="41"/>
      <c r="N111" s="42" t="str">
        <f t="shared" si="46"/>
        <v/>
      </c>
      <c r="O111" s="236" t="str">
        <f t="shared" si="47"/>
        <v/>
      </c>
      <c r="P111" s="49"/>
      <c r="Q111" s="41"/>
      <c r="R111" s="41"/>
      <c r="S111" s="41"/>
      <c r="T111" s="41"/>
      <c r="U111" s="42" t="str">
        <f t="shared" si="48"/>
        <v/>
      </c>
      <c r="V111" s="236" t="str">
        <f t="shared" si="49"/>
        <v/>
      </c>
    </row>
    <row r="112" spans="1:22" ht="18" customHeight="1">
      <c r="A112" s="74" t="str">
        <f>IF($C$9="Data Not Entered On Set-Up Worksheet","",IF(OR(VLOOKUP($C$9,County_Lookup,28,FALSE)="",VLOOKUP($C$9,County_Lookup,28,FALSE)=0),"",VLOOKUP($C$9,County_Lookup,28,FALSE)))</f>
        <v/>
      </c>
      <c r="B112" s="49"/>
      <c r="C112" s="41"/>
      <c r="D112" s="41"/>
      <c r="E112" s="41"/>
      <c r="F112" s="41"/>
      <c r="G112" s="42" t="str">
        <f t="shared" si="38"/>
        <v/>
      </c>
      <c r="H112" s="236" t="str">
        <f t="shared" si="39"/>
        <v/>
      </c>
      <c r="I112" s="49"/>
      <c r="J112" s="41"/>
      <c r="K112" s="41"/>
      <c r="L112" s="41"/>
      <c r="M112" s="41"/>
      <c r="N112" s="42" t="str">
        <f t="shared" si="40"/>
        <v/>
      </c>
      <c r="O112" s="236" t="str">
        <f t="shared" si="41"/>
        <v/>
      </c>
      <c r="P112" s="49"/>
      <c r="Q112" s="41"/>
      <c r="R112" s="41"/>
      <c r="S112" s="41"/>
      <c r="T112" s="41"/>
      <c r="U112" s="42" t="str">
        <f t="shared" si="42"/>
        <v/>
      </c>
      <c r="V112" s="236" t="str">
        <f t="shared" si="43"/>
        <v/>
      </c>
    </row>
    <row r="113" spans="1:22" ht="18" customHeight="1" thickBot="1">
      <c r="A113" s="75" t="s">
        <v>0</v>
      </c>
      <c r="B113" s="237">
        <f>SUM(B86:B112)</f>
        <v>0</v>
      </c>
      <c r="C113" s="238">
        <f t="shared" ref="C113" si="50">SUM(C86:C112)</f>
        <v>0</v>
      </c>
      <c r="D113" s="238">
        <f t="shared" ref="D113" si="51">SUM(D86:D112)</f>
        <v>0</v>
      </c>
      <c r="E113" s="238">
        <f t="shared" ref="E113" si="52">SUM(E86:E112)</f>
        <v>0</v>
      </c>
      <c r="F113" s="238">
        <f t="shared" ref="F113" si="53">SUM(F86:F112)</f>
        <v>0</v>
      </c>
      <c r="G113" s="242">
        <f t="shared" si="38"/>
        <v>0</v>
      </c>
      <c r="H113" s="243">
        <f t="shared" si="39"/>
        <v>0</v>
      </c>
      <c r="I113" s="237">
        <f>SUM(I86:I112)</f>
        <v>0</v>
      </c>
      <c r="J113" s="238">
        <f t="shared" ref="J113" si="54">SUM(J86:J112)</f>
        <v>0</v>
      </c>
      <c r="K113" s="238">
        <f t="shared" ref="K113" si="55">SUM(K86:K112)</f>
        <v>0</v>
      </c>
      <c r="L113" s="238">
        <f t="shared" ref="L113" si="56">SUM(L86:L112)</f>
        <v>0</v>
      </c>
      <c r="M113" s="238">
        <f t="shared" ref="M113" si="57">SUM(M86:M112)</f>
        <v>0</v>
      </c>
      <c r="N113" s="242">
        <f t="shared" si="40"/>
        <v>0</v>
      </c>
      <c r="O113" s="243">
        <f t="shared" si="41"/>
        <v>0</v>
      </c>
      <c r="P113" s="237">
        <f>SUM(P86:P112)</f>
        <v>0</v>
      </c>
      <c r="Q113" s="238">
        <f t="shared" ref="Q113" si="58">SUM(Q86:Q112)</f>
        <v>0</v>
      </c>
      <c r="R113" s="238">
        <f t="shared" ref="R113" si="59">SUM(R86:R112)</f>
        <v>0</v>
      </c>
      <c r="S113" s="238">
        <f t="shared" ref="S113" si="60">SUM(S86:S112)</f>
        <v>0</v>
      </c>
      <c r="T113" s="238">
        <f t="shared" ref="T113" si="61">SUM(T86:T112)</f>
        <v>0</v>
      </c>
      <c r="U113" s="242">
        <f t="shared" si="42"/>
        <v>0</v>
      </c>
      <c r="V113" s="243">
        <f t="shared" si="43"/>
        <v>0</v>
      </c>
    </row>
    <row r="114" spans="1:22">
      <c r="B114" s="22" t="s">
        <v>323</v>
      </c>
      <c r="I114" s="22" t="s">
        <v>323</v>
      </c>
      <c r="P114" s="22" t="s">
        <v>323</v>
      </c>
    </row>
    <row r="116" spans="1:22">
      <c r="B116" s="57" t="s">
        <v>376</v>
      </c>
      <c r="I116" s="57" t="s">
        <v>377</v>
      </c>
      <c r="P116" s="57" t="s">
        <v>378</v>
      </c>
    </row>
  </sheetData>
  <sheetProtection sheet="1" objects="1" scenarios="1"/>
  <conditionalFormatting sqref="C3:C4">
    <cfRule type="expression" dxfId="394" priority="40">
      <formula>C3="Data Not Entered On Set-Up Worksheet"</formula>
    </cfRule>
  </conditionalFormatting>
  <conditionalFormatting sqref="C9">
    <cfRule type="expression" dxfId="393" priority="39">
      <formula>C9="Data Not Entered On Set-Up Worksheet"</formula>
    </cfRule>
  </conditionalFormatting>
  <conditionalFormatting sqref="B12">
    <cfRule type="expression" dxfId="392" priority="38">
      <formula>B12="Data Not Entered On Set-Up Worksheet"</formula>
    </cfRule>
  </conditionalFormatting>
  <conditionalFormatting sqref="C11">
    <cfRule type="expression" dxfId="391" priority="37">
      <formula>C11="Data Not Entered On Set-Up Worksheet"</formula>
    </cfRule>
  </conditionalFormatting>
  <conditionalFormatting sqref="E11">
    <cfRule type="expression" dxfId="390" priority="35">
      <formula>E11="Data Not Entered On Set-Up Worksheet"</formula>
    </cfRule>
  </conditionalFormatting>
  <conditionalFormatting sqref="B18:F40 I18:M40 P18:T40 P44:T44 I44:M44 B44:F44">
    <cfRule type="expression" dxfId="389" priority="103">
      <formula>AND($A18&lt;&gt;"",B18="")</formula>
    </cfRule>
  </conditionalFormatting>
  <conditionalFormatting sqref="B52:F74 I52:M74 P52:T74 P78:T78 I78:M78 B78:F78">
    <cfRule type="expression" dxfId="388" priority="34">
      <formula>AND($A52&lt;&gt;"",B52="")</formula>
    </cfRule>
  </conditionalFormatting>
  <conditionalFormatting sqref="P86:T107 P112:T112">
    <cfRule type="expression" dxfId="387" priority="31">
      <formula>AND($A86&lt;&gt;"",B86="")</formula>
    </cfRule>
  </conditionalFormatting>
  <conditionalFormatting sqref="B86:F108 I86:M108 P86:T108 P112:T112 I112:M112 B112:F112">
    <cfRule type="expression" dxfId="386" priority="32">
      <formula>AND($A86&lt;&gt;"",B86="")</formula>
    </cfRule>
  </conditionalFormatting>
  <conditionalFormatting sqref="P40:T40">
    <cfRule type="expression" dxfId="385" priority="29">
      <formula>AND($A40&lt;&gt;"",B40="")</formula>
    </cfRule>
  </conditionalFormatting>
  <conditionalFormatting sqref="P74:T74">
    <cfRule type="expression" dxfId="384" priority="27">
      <formula>AND($A74&lt;&gt;"",B74="")</formula>
    </cfRule>
  </conditionalFormatting>
  <conditionalFormatting sqref="P108:T108">
    <cfRule type="expression" dxfId="383" priority="25">
      <formula>AND($A108&lt;&gt;"",B108="")</formula>
    </cfRule>
  </conditionalFormatting>
  <conditionalFormatting sqref="B18:F40 B44:F44">
    <cfRule type="expression" dxfId="382" priority="24">
      <formula>$A18="Other"</formula>
    </cfRule>
  </conditionalFormatting>
  <conditionalFormatting sqref="B52:F74 B78:F78">
    <cfRule type="expression" dxfId="381" priority="23">
      <formula>$A52="Other"</formula>
    </cfRule>
  </conditionalFormatting>
  <conditionalFormatting sqref="B86:F108 B112:F112">
    <cfRule type="expression" dxfId="380" priority="22">
      <formula>$A86="Other"</formula>
    </cfRule>
  </conditionalFormatting>
  <conditionalFormatting sqref="P41:T41 I41:M41 B41:F41">
    <cfRule type="expression" dxfId="379" priority="21">
      <formula>AND($A41&lt;&gt;"",B41="")</formula>
    </cfRule>
  </conditionalFormatting>
  <conditionalFormatting sqref="B41:F41">
    <cfRule type="expression" dxfId="378" priority="20">
      <formula>$A41="Other"</formula>
    </cfRule>
  </conditionalFormatting>
  <conditionalFormatting sqref="P75:T75 I75:M75 B75:F75">
    <cfRule type="expression" dxfId="377" priority="19">
      <formula>AND($A75&lt;&gt;"",B75="")</formula>
    </cfRule>
  </conditionalFormatting>
  <conditionalFormatting sqref="B75:F75">
    <cfRule type="expression" dxfId="376" priority="18">
      <formula>$A75="Other"</formula>
    </cfRule>
  </conditionalFormatting>
  <conditionalFormatting sqref="P109:T109">
    <cfRule type="expression" dxfId="375" priority="16">
      <formula>AND($A109&lt;&gt;"",B109="")</formula>
    </cfRule>
  </conditionalFormatting>
  <conditionalFormatting sqref="P109:T109 I109:M109 B109:F109">
    <cfRule type="expression" dxfId="374" priority="17">
      <formula>AND($A109&lt;&gt;"",B109="")</formula>
    </cfRule>
  </conditionalFormatting>
  <conditionalFormatting sqref="B109:F109">
    <cfRule type="expression" dxfId="373" priority="15">
      <formula>$A109="Other"</formula>
    </cfRule>
  </conditionalFormatting>
  <conditionalFormatting sqref="P42:T42 I42:M42 B42:F42">
    <cfRule type="expression" dxfId="372" priority="14">
      <formula>AND($A42&lt;&gt;"",B42="")</formula>
    </cfRule>
  </conditionalFormatting>
  <conditionalFormatting sqref="B42:F42">
    <cfRule type="expression" dxfId="371" priority="13">
      <formula>$A42="Other"</formula>
    </cfRule>
  </conditionalFormatting>
  <conditionalFormatting sqref="P76:T76 I76:M76 B76:F76">
    <cfRule type="expression" dxfId="370" priority="12">
      <formula>AND($A76&lt;&gt;"",B76="")</formula>
    </cfRule>
  </conditionalFormatting>
  <conditionalFormatting sqref="B76:F76">
    <cfRule type="expression" dxfId="369" priority="11">
      <formula>$A76="Other"</formula>
    </cfRule>
  </conditionalFormatting>
  <conditionalFormatting sqref="P110:T110">
    <cfRule type="expression" dxfId="368" priority="9">
      <formula>AND($A110&lt;&gt;"",B110="")</formula>
    </cfRule>
  </conditionalFormatting>
  <conditionalFormatting sqref="P110:T110 I110:M110 B110:F110">
    <cfRule type="expression" dxfId="367" priority="10">
      <formula>AND($A110&lt;&gt;"",B110="")</formula>
    </cfRule>
  </conditionalFormatting>
  <conditionalFormatting sqref="B110:F110">
    <cfRule type="expression" dxfId="366" priority="8">
      <formula>$A110="Other"</formula>
    </cfRule>
  </conditionalFormatting>
  <conditionalFormatting sqref="P43:T43 I43:M43 B43:F43">
    <cfRule type="expression" dxfId="365" priority="7">
      <formula>AND($A43&lt;&gt;"",B43="")</formula>
    </cfRule>
  </conditionalFormatting>
  <conditionalFormatting sqref="B43:F43">
    <cfRule type="expression" dxfId="364" priority="6">
      <formula>$A43="Other"</formula>
    </cfRule>
  </conditionalFormatting>
  <conditionalFormatting sqref="P77:T77 I77:M77 B77:F77">
    <cfRule type="expression" dxfId="363" priority="5">
      <formula>AND($A77&lt;&gt;"",B77="")</formula>
    </cfRule>
  </conditionalFormatting>
  <conditionalFormatting sqref="B77:F77">
    <cfRule type="expression" dxfId="362" priority="4">
      <formula>$A77="Other"</formula>
    </cfRule>
  </conditionalFormatting>
  <conditionalFormatting sqref="P111:T111">
    <cfRule type="expression" dxfId="361" priority="2">
      <formula>AND($A111&lt;&gt;"",B111="")</formula>
    </cfRule>
  </conditionalFormatting>
  <conditionalFormatting sqref="P111:T111 I111:M111 B111:F111">
    <cfRule type="expression" dxfId="360" priority="3">
      <formula>AND($A111&lt;&gt;"",B111="")</formula>
    </cfRule>
  </conditionalFormatting>
  <conditionalFormatting sqref="B111:F111">
    <cfRule type="expression" dxfId="359" priority="1">
      <formula>$A111="Other"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pageSetUpPr fitToPage="1"/>
  </sheetPr>
  <dimension ref="A1:V44"/>
  <sheetViews>
    <sheetView showGridLines="0" workbookViewId="0">
      <selection activeCell="B16" sqref="B16"/>
    </sheetView>
  </sheetViews>
  <sheetFormatPr defaultRowHeight="12.75"/>
  <cols>
    <col min="1" max="1" width="22.42578125" style="22" customWidth="1"/>
    <col min="2" max="5" width="19.28515625" style="22" customWidth="1"/>
    <col min="6" max="7" width="16.7109375" style="22" customWidth="1"/>
    <col min="8" max="12" width="19.28515625" style="22" customWidth="1"/>
    <col min="13" max="14" width="16.7109375" style="22" customWidth="1"/>
    <col min="15" max="19" width="19.28515625" style="22" customWidth="1"/>
    <col min="20" max="21" width="16.7109375" style="22" customWidth="1"/>
    <col min="22" max="22" width="19.28515625" style="22" customWidth="1"/>
    <col min="23" max="16384" width="9.140625" style="22"/>
  </cols>
  <sheetData>
    <row r="1" spans="1:22" ht="15" customHeight="1">
      <c r="A1" s="35" t="s">
        <v>23</v>
      </c>
      <c r="I1" s="35" t="s">
        <v>254</v>
      </c>
      <c r="P1" s="35" t="s">
        <v>254</v>
      </c>
    </row>
    <row r="2" spans="1:22" ht="15" customHeight="1">
      <c r="A2" s="35" t="s">
        <v>187</v>
      </c>
      <c r="I2" s="247" t="s">
        <v>255</v>
      </c>
      <c r="P2" s="247" t="s">
        <v>255</v>
      </c>
    </row>
    <row r="3" spans="1:22" ht="15" customHeight="1">
      <c r="A3" s="30" t="s">
        <v>185</v>
      </c>
      <c r="C3" s="138">
        <f>IF('Set-Up Worksheet'!F3="","Data Not Entered On Set-Up Worksheet",'Set-Up Worksheet'!F3)</f>
        <v>2021</v>
      </c>
      <c r="J3" s="246">
        <f>C3</f>
        <v>2021</v>
      </c>
      <c r="K3" s="244"/>
      <c r="L3" s="244"/>
      <c r="M3" s="244"/>
      <c r="Q3" s="246">
        <f>C3</f>
        <v>2021</v>
      </c>
    </row>
    <row r="4" spans="1:22" ht="15" customHeight="1">
      <c r="A4" s="30" t="s">
        <v>186</v>
      </c>
      <c r="C4" s="138" t="str">
        <f>IF('Set-Up Worksheet'!F4="","Data Not Entered On Set-Up Worksheet",'Set-Up Worksheet'!F4)</f>
        <v>1st Quarter</v>
      </c>
      <c r="D4" s="32"/>
      <c r="E4" s="32"/>
      <c r="F4" s="32"/>
      <c r="J4" s="244" t="str">
        <f>C4</f>
        <v>1st Quarter</v>
      </c>
      <c r="K4" s="244"/>
      <c r="L4" s="244"/>
      <c r="M4" s="244"/>
      <c r="Q4" s="244" t="str">
        <f>C4</f>
        <v>1st Quarter</v>
      </c>
    </row>
    <row r="5" spans="1:22" ht="15" customHeight="1">
      <c r="A5" s="30"/>
      <c r="C5" s="32"/>
      <c r="D5" s="32"/>
      <c r="E5" s="32"/>
      <c r="F5" s="32"/>
      <c r="J5" s="244"/>
      <c r="K5" s="244"/>
      <c r="L5" s="244"/>
      <c r="M5" s="244"/>
      <c r="Q5" s="244"/>
    </row>
    <row r="6" spans="1:22" ht="15" customHeight="1">
      <c r="A6" s="30" t="s">
        <v>261</v>
      </c>
      <c r="C6" s="32"/>
      <c r="D6" s="32"/>
      <c r="E6" s="32"/>
      <c r="F6" s="32"/>
      <c r="J6" s="244"/>
      <c r="K6" s="244"/>
      <c r="L6" s="244"/>
      <c r="M6" s="244"/>
      <c r="Q6" s="244"/>
    </row>
    <row r="7" spans="1:22" ht="15" customHeight="1">
      <c r="A7" s="30" t="s">
        <v>335</v>
      </c>
      <c r="C7" s="32"/>
      <c r="D7" s="32"/>
      <c r="E7" s="32"/>
      <c r="F7" s="32"/>
      <c r="I7" s="30" t="s">
        <v>336</v>
      </c>
      <c r="J7" s="244"/>
      <c r="K7" s="244"/>
      <c r="L7" s="244"/>
      <c r="M7" s="244"/>
      <c r="P7" s="30" t="s">
        <v>336</v>
      </c>
      <c r="Q7" s="244"/>
    </row>
    <row r="8" spans="1:22" ht="15" customHeight="1">
      <c r="A8" s="30"/>
      <c r="C8" s="32"/>
      <c r="D8" s="32"/>
      <c r="E8" s="32"/>
      <c r="F8" s="32"/>
      <c r="J8" s="244"/>
      <c r="K8" s="244"/>
      <c r="L8" s="244"/>
      <c r="M8" s="244"/>
      <c r="Q8" s="244"/>
    </row>
    <row r="9" spans="1:22" ht="15" customHeight="1">
      <c r="A9" s="30" t="s">
        <v>24</v>
      </c>
      <c r="C9" s="38" t="str">
        <f>IF('Set-Up Worksheet'!E7="","Data Not Entered On Set-Up Worksheet",'Set-Up Worksheet'!E7)</f>
        <v>Data Not Entered On Set-Up Worksheet</v>
      </c>
      <c r="J9" s="244" t="str">
        <f>C9</f>
        <v>Data Not Entered On Set-Up Worksheet</v>
      </c>
      <c r="K9" s="244"/>
      <c r="L9" s="244"/>
      <c r="M9" s="244"/>
      <c r="Q9" s="244" t="str">
        <f>C9</f>
        <v>Data Not Entered On Set-Up Worksheet</v>
      </c>
    </row>
    <row r="10" spans="1:22" ht="15" customHeight="1">
      <c r="A10" s="30" t="s">
        <v>9</v>
      </c>
      <c r="C10" s="32" t="s">
        <v>10</v>
      </c>
      <c r="J10" s="244" t="str">
        <f>C10</f>
        <v>Behavioral Health</v>
      </c>
      <c r="K10" s="244"/>
      <c r="L10" s="244"/>
      <c r="M10" s="244"/>
      <c r="Q10" s="244" t="str">
        <f>C10</f>
        <v>Behavioral Health</v>
      </c>
    </row>
    <row r="11" spans="1:22" ht="15" customHeight="1">
      <c r="A11" s="30" t="s">
        <v>188</v>
      </c>
      <c r="C11" s="39" t="str">
        <f>IF(C4="Data Not Entered On Set-Up Worksheet","Data Not Entered On Set-Up Worksheet",IF(C4="1st Quarter",'Report Schedule'!D46,IF(C4="2nd Quarter",'Report Schedule'!E46,IF(C4="3rd Quarter",'Report Schedule'!F46,IF(C4="4th Quarter",'Report Schedule'!G46,"")))))</f>
        <v>Apr - Jun 2020</v>
      </c>
      <c r="F11" s="76" t="s">
        <v>35</v>
      </c>
      <c r="J11" s="244" t="str">
        <f>C11</f>
        <v>Apr - Jun 2020</v>
      </c>
      <c r="K11" s="244"/>
      <c r="L11" s="244"/>
      <c r="M11" s="245" t="s">
        <v>35</v>
      </c>
      <c r="Q11" s="244" t="str">
        <f>C11</f>
        <v>Apr - Jun 2020</v>
      </c>
      <c r="T11" s="245" t="s">
        <v>35</v>
      </c>
    </row>
    <row r="12" spans="1:22" ht="15" customHeight="1" thickBot="1">
      <c r="A12" s="30"/>
      <c r="B12" s="39"/>
    </row>
    <row r="13" spans="1:22" ht="18" customHeight="1" thickBot="1">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5" thickBot="1">
      <c r="A14" s="30"/>
      <c r="B14" s="36" t="s">
        <v>3</v>
      </c>
      <c r="C14" s="36"/>
      <c r="D14" s="36"/>
      <c r="E14" s="36"/>
      <c r="F14" s="36"/>
      <c r="G14" s="36" t="s">
        <v>4</v>
      </c>
      <c r="H14" s="36" t="s">
        <v>8</v>
      </c>
      <c r="I14" s="36" t="s">
        <v>3</v>
      </c>
      <c r="J14" s="36"/>
      <c r="K14" s="36"/>
      <c r="L14" s="36"/>
      <c r="M14" s="36"/>
      <c r="N14" s="36" t="s">
        <v>4</v>
      </c>
      <c r="O14" s="36" t="s">
        <v>8</v>
      </c>
      <c r="P14" s="36" t="s">
        <v>3</v>
      </c>
      <c r="Q14" s="36"/>
      <c r="R14" s="36"/>
      <c r="S14" s="36"/>
      <c r="T14" s="36"/>
      <c r="U14" s="36" t="s">
        <v>4</v>
      </c>
      <c r="V14" s="36" t="s">
        <v>8</v>
      </c>
    </row>
    <row r="15" spans="1:22" ht="38.25">
      <c r="A15" s="72" t="s">
        <v>38</v>
      </c>
      <c r="B15" s="280" t="s">
        <v>358</v>
      </c>
      <c r="C15" s="281" t="s">
        <v>359</v>
      </c>
      <c r="D15" s="281" t="s">
        <v>360</v>
      </c>
      <c r="E15" s="281" t="s">
        <v>356</v>
      </c>
      <c r="F15" s="281" t="s">
        <v>357</v>
      </c>
      <c r="G15" s="281" t="s">
        <v>25</v>
      </c>
      <c r="H15" s="281" t="s">
        <v>361</v>
      </c>
      <c r="I15" s="282" t="s">
        <v>358</v>
      </c>
      <c r="J15" s="283" t="s">
        <v>359</v>
      </c>
      <c r="K15" s="283" t="s">
        <v>360</v>
      </c>
      <c r="L15" s="283" t="s">
        <v>356</v>
      </c>
      <c r="M15" s="283" t="s">
        <v>357</v>
      </c>
      <c r="N15" s="283" t="s">
        <v>25</v>
      </c>
      <c r="O15" s="283" t="s">
        <v>361</v>
      </c>
      <c r="P15" s="280" t="s">
        <v>358</v>
      </c>
      <c r="Q15" s="281" t="s">
        <v>359</v>
      </c>
      <c r="R15" s="281" t="s">
        <v>360</v>
      </c>
      <c r="S15" s="281" t="s">
        <v>356</v>
      </c>
      <c r="T15" s="281" t="s">
        <v>357</v>
      </c>
      <c r="U15" s="281" t="s">
        <v>25</v>
      </c>
      <c r="V15" s="284" t="s">
        <v>361</v>
      </c>
    </row>
    <row r="16" spans="1:22" ht="18" customHeight="1">
      <c r="A16" s="73" t="str">
        <f>IF($C$9="Data Not Entered On Set-Up Worksheet","",IF(OR(VLOOKUP($C$9,County_Lookup,2,FALSE)="",VLOOKUP($C$9,County_Lookup,2,FALSE)=0),"",VLOOKUP($C$9,County_Lookup,2,FALSE)))</f>
        <v/>
      </c>
      <c r="B16" s="49"/>
      <c r="C16" s="41"/>
      <c r="D16" s="41"/>
      <c r="E16" s="41"/>
      <c r="F16" s="41"/>
      <c r="G16" s="41"/>
      <c r="H16" s="42" t="str">
        <f t="shared" ref="H16:H43" si="0">IF($A16="","",IF($G16=0,0,B16/$G16))</f>
        <v/>
      </c>
      <c r="I16" s="49"/>
      <c r="J16" s="41"/>
      <c r="K16" s="41"/>
      <c r="L16" s="41"/>
      <c r="M16" s="41"/>
      <c r="N16" s="41"/>
      <c r="O16" s="42" t="str">
        <f t="shared" ref="O16:O43" si="1">IF($A16="","",IF($N16=0,0,I16/$N16))</f>
        <v/>
      </c>
      <c r="P16" s="49"/>
      <c r="Q16" s="41"/>
      <c r="R16" s="41"/>
      <c r="S16" s="41"/>
      <c r="T16" s="41"/>
      <c r="U16" s="41"/>
      <c r="V16" s="236" t="str">
        <f t="shared" ref="V16:V43" si="2">IF($A16="","",IF($U16=0,0,P16/$U16))</f>
        <v/>
      </c>
    </row>
    <row r="17" spans="1:22" ht="18" customHeight="1">
      <c r="A17" s="74" t="str">
        <f>IF($C$9="Data Not Entered On Set-Up Worksheet","",IF(OR(VLOOKUP($C$9,County_Lookup,3,FALSE)="",VLOOKUP($C$9,County_Lookup,3,FALSE)=0),"",VLOOKUP($C$9,County_Lookup,3,FALSE)))</f>
        <v/>
      </c>
      <c r="B17" s="49"/>
      <c r="C17" s="41"/>
      <c r="D17" s="41"/>
      <c r="E17" s="41"/>
      <c r="F17" s="41"/>
      <c r="G17" s="41"/>
      <c r="H17" s="42" t="str">
        <f t="shared" si="0"/>
        <v/>
      </c>
      <c r="I17" s="49"/>
      <c r="J17" s="41"/>
      <c r="K17" s="41"/>
      <c r="L17" s="41"/>
      <c r="M17" s="41"/>
      <c r="N17" s="41"/>
      <c r="O17" s="42" t="str">
        <f t="shared" si="1"/>
        <v/>
      </c>
      <c r="P17" s="49"/>
      <c r="Q17" s="41"/>
      <c r="R17" s="41"/>
      <c r="S17" s="41"/>
      <c r="T17" s="41"/>
      <c r="U17" s="41"/>
      <c r="V17" s="236" t="str">
        <f t="shared" si="2"/>
        <v/>
      </c>
    </row>
    <row r="18" spans="1:22" ht="18" customHeight="1">
      <c r="A18" s="74" t="str">
        <f>IF($C$9="Data Not Entered On Set-Up Worksheet","",IF(OR(VLOOKUP($C$9,County_Lookup,4,FALSE)="",VLOOKUP($C$9,County_Lookup,4,FALSE)=0),"",VLOOKUP($C$9,County_Lookup,4,FALSE)))</f>
        <v/>
      </c>
      <c r="B18" s="49"/>
      <c r="C18" s="41"/>
      <c r="D18" s="41"/>
      <c r="E18" s="41"/>
      <c r="F18" s="41"/>
      <c r="G18" s="41"/>
      <c r="H18" s="42" t="str">
        <f t="shared" si="0"/>
        <v/>
      </c>
      <c r="I18" s="49"/>
      <c r="J18" s="41"/>
      <c r="K18" s="41"/>
      <c r="L18" s="41"/>
      <c r="M18" s="41"/>
      <c r="N18" s="41"/>
      <c r="O18" s="42" t="str">
        <f t="shared" si="1"/>
        <v/>
      </c>
      <c r="P18" s="49"/>
      <c r="Q18" s="41"/>
      <c r="R18" s="41"/>
      <c r="S18" s="41"/>
      <c r="T18" s="41"/>
      <c r="U18" s="41"/>
      <c r="V18" s="236" t="str">
        <f t="shared" si="2"/>
        <v/>
      </c>
    </row>
    <row r="19" spans="1:22" ht="18" customHeight="1">
      <c r="A19" s="74" t="str">
        <f>IF($C$9="Data Not Entered On Set-Up Worksheet","",IF(OR(VLOOKUP($C$9,County_Lookup,5,FALSE)="",VLOOKUP($C$9,County_Lookup,5,FALSE)=0),"",VLOOKUP($C$9,County_Lookup,5,FALSE)))</f>
        <v/>
      </c>
      <c r="B19" s="49"/>
      <c r="C19" s="41"/>
      <c r="D19" s="41"/>
      <c r="E19" s="41"/>
      <c r="F19" s="41"/>
      <c r="G19" s="41"/>
      <c r="H19" s="42" t="str">
        <f t="shared" si="0"/>
        <v/>
      </c>
      <c r="I19" s="49"/>
      <c r="J19" s="41"/>
      <c r="K19" s="41"/>
      <c r="L19" s="41"/>
      <c r="M19" s="41"/>
      <c r="N19" s="41"/>
      <c r="O19" s="42" t="str">
        <f t="shared" si="1"/>
        <v/>
      </c>
      <c r="P19" s="49"/>
      <c r="Q19" s="41"/>
      <c r="R19" s="41"/>
      <c r="S19" s="41"/>
      <c r="T19" s="41"/>
      <c r="U19" s="41"/>
      <c r="V19" s="236" t="str">
        <f t="shared" si="2"/>
        <v/>
      </c>
    </row>
    <row r="20" spans="1:22" ht="18" customHeight="1">
      <c r="A20" s="74" t="str">
        <f>IF($C$9="Data Not Entered On Set-Up Worksheet","",IF(OR(VLOOKUP($C$9,County_Lookup,6,FALSE)="",VLOOKUP($C$9,County_Lookup,6,FALSE)=0),"",VLOOKUP($C$9,County_Lookup,6,FALSE)))</f>
        <v/>
      </c>
      <c r="B20" s="49"/>
      <c r="C20" s="41"/>
      <c r="D20" s="41"/>
      <c r="E20" s="41"/>
      <c r="F20" s="41"/>
      <c r="G20" s="41"/>
      <c r="H20" s="42" t="str">
        <f t="shared" si="0"/>
        <v/>
      </c>
      <c r="I20" s="49"/>
      <c r="J20" s="41"/>
      <c r="K20" s="41"/>
      <c r="L20" s="41"/>
      <c r="M20" s="41"/>
      <c r="N20" s="41"/>
      <c r="O20" s="42" t="str">
        <f t="shared" si="1"/>
        <v/>
      </c>
      <c r="P20" s="49"/>
      <c r="Q20" s="41"/>
      <c r="R20" s="41"/>
      <c r="S20" s="41"/>
      <c r="T20" s="41"/>
      <c r="U20" s="41"/>
      <c r="V20" s="236" t="str">
        <f t="shared" si="2"/>
        <v/>
      </c>
    </row>
    <row r="21" spans="1:22" ht="18" customHeight="1">
      <c r="A21" s="74" t="str">
        <f>IF($C$9="Data Not Entered On Set-Up Worksheet","",IF(OR(VLOOKUP($C$9,County_Lookup,7,FALSE)="",VLOOKUP($C$9,County_Lookup,7,FALSE)=0),"",VLOOKUP($C$9,County_Lookup,7,FALSE)))</f>
        <v/>
      </c>
      <c r="B21" s="49"/>
      <c r="C21" s="41"/>
      <c r="D21" s="41"/>
      <c r="E21" s="41"/>
      <c r="F21" s="41"/>
      <c r="G21" s="41"/>
      <c r="H21" s="42" t="str">
        <f t="shared" si="0"/>
        <v/>
      </c>
      <c r="I21" s="49"/>
      <c r="J21" s="41"/>
      <c r="K21" s="41"/>
      <c r="L21" s="41"/>
      <c r="M21" s="41"/>
      <c r="N21" s="41"/>
      <c r="O21" s="42" t="str">
        <f t="shared" si="1"/>
        <v/>
      </c>
      <c r="P21" s="49"/>
      <c r="Q21" s="41"/>
      <c r="R21" s="41"/>
      <c r="S21" s="41"/>
      <c r="T21" s="41"/>
      <c r="U21" s="41"/>
      <c r="V21" s="236" t="str">
        <f t="shared" si="2"/>
        <v/>
      </c>
    </row>
    <row r="22" spans="1:22" ht="18" customHeight="1">
      <c r="A22" s="73" t="str">
        <f>IF($C$9="Data Not Entered On Set-Up Worksheet","",IF(OR(VLOOKUP($C$9,County_Lookup,8,FALSE)="",VLOOKUP($C$9,County_Lookup,8,FALSE)=0),"",VLOOKUP($C$9,County_Lookup,8,FALSE)))</f>
        <v/>
      </c>
      <c r="B22" s="49"/>
      <c r="C22" s="41"/>
      <c r="D22" s="41"/>
      <c r="E22" s="41"/>
      <c r="F22" s="41"/>
      <c r="G22" s="41"/>
      <c r="H22" s="42" t="str">
        <f t="shared" si="0"/>
        <v/>
      </c>
      <c r="I22" s="49"/>
      <c r="J22" s="41"/>
      <c r="K22" s="41"/>
      <c r="L22" s="41"/>
      <c r="M22" s="41"/>
      <c r="N22" s="41"/>
      <c r="O22" s="42" t="str">
        <f t="shared" si="1"/>
        <v/>
      </c>
      <c r="P22" s="49"/>
      <c r="Q22" s="41"/>
      <c r="R22" s="41"/>
      <c r="S22" s="41"/>
      <c r="T22" s="41"/>
      <c r="U22" s="41"/>
      <c r="V22" s="236" t="str">
        <f t="shared" si="2"/>
        <v/>
      </c>
    </row>
    <row r="23" spans="1:22" ht="18" customHeight="1">
      <c r="A23" s="74" t="str">
        <f>IF($C$9="Data Not Entered On Set-Up Worksheet","",IF(OR(VLOOKUP($C$9,County_Lookup,9,FALSE)="",VLOOKUP($C$9,County_Lookup,9,FALSE)=0),"",VLOOKUP($C$9,County_Lookup,9,FALSE)))</f>
        <v/>
      </c>
      <c r="B23" s="49"/>
      <c r="C23" s="41"/>
      <c r="D23" s="41"/>
      <c r="E23" s="41"/>
      <c r="F23" s="41"/>
      <c r="G23" s="41"/>
      <c r="H23" s="42" t="str">
        <f t="shared" si="0"/>
        <v/>
      </c>
      <c r="I23" s="49"/>
      <c r="J23" s="41"/>
      <c r="K23" s="41"/>
      <c r="L23" s="41"/>
      <c r="M23" s="41"/>
      <c r="N23" s="41"/>
      <c r="O23" s="42" t="str">
        <f t="shared" si="1"/>
        <v/>
      </c>
      <c r="P23" s="49"/>
      <c r="Q23" s="41"/>
      <c r="R23" s="41"/>
      <c r="S23" s="41"/>
      <c r="T23" s="41"/>
      <c r="U23" s="41"/>
      <c r="V23" s="236" t="str">
        <f t="shared" si="2"/>
        <v/>
      </c>
    </row>
    <row r="24" spans="1:22" ht="18" customHeight="1">
      <c r="A24" s="74" t="str">
        <f>IF($C$9="Data Not Entered On Set-Up Worksheet","",IF(OR(VLOOKUP($C$9,County_Lookup,10,FALSE)="",VLOOKUP($C$9,County_Lookup,10,FALSE)=0),"",VLOOKUP($C$9,County_Lookup,10,FALSE)))</f>
        <v/>
      </c>
      <c r="B24" s="49"/>
      <c r="C24" s="41"/>
      <c r="D24" s="41"/>
      <c r="E24" s="41"/>
      <c r="F24" s="41"/>
      <c r="G24" s="41"/>
      <c r="H24" s="42" t="str">
        <f t="shared" si="0"/>
        <v/>
      </c>
      <c r="I24" s="49"/>
      <c r="J24" s="41"/>
      <c r="K24" s="41"/>
      <c r="L24" s="41"/>
      <c r="M24" s="41"/>
      <c r="N24" s="41"/>
      <c r="O24" s="42" t="str">
        <f t="shared" si="1"/>
        <v/>
      </c>
      <c r="P24" s="49"/>
      <c r="Q24" s="41"/>
      <c r="R24" s="41"/>
      <c r="S24" s="41"/>
      <c r="T24" s="41"/>
      <c r="U24" s="41"/>
      <c r="V24" s="236" t="str">
        <f t="shared" si="2"/>
        <v/>
      </c>
    </row>
    <row r="25" spans="1:22" ht="18" customHeight="1">
      <c r="A25" s="74" t="str">
        <f>IF($C$9="Data Not Entered On Set-Up Worksheet","",IF(OR(VLOOKUP($C$9,County_Lookup,11,FALSE)="",VLOOKUP($C$9,County_Lookup,11,FALSE)=0),"",VLOOKUP($C$9,County_Lookup,11,FALSE)))</f>
        <v/>
      </c>
      <c r="B25" s="49"/>
      <c r="C25" s="41"/>
      <c r="D25" s="41"/>
      <c r="E25" s="41"/>
      <c r="F25" s="41"/>
      <c r="G25" s="41"/>
      <c r="H25" s="42" t="str">
        <f t="shared" si="0"/>
        <v/>
      </c>
      <c r="I25" s="49"/>
      <c r="J25" s="41"/>
      <c r="K25" s="41"/>
      <c r="L25" s="41"/>
      <c r="M25" s="41"/>
      <c r="N25" s="41"/>
      <c r="O25" s="42" t="str">
        <f t="shared" si="1"/>
        <v/>
      </c>
      <c r="P25" s="49"/>
      <c r="Q25" s="41"/>
      <c r="R25" s="41"/>
      <c r="S25" s="41"/>
      <c r="T25" s="41"/>
      <c r="U25" s="41"/>
      <c r="V25" s="236" t="str">
        <f t="shared" si="2"/>
        <v/>
      </c>
    </row>
    <row r="26" spans="1:22" ht="18" customHeight="1">
      <c r="A26" s="74" t="str">
        <f>IF($C$9="Data Not Entered On Set-Up Worksheet","",IF(OR(VLOOKUP($C$9,County_Lookup,12,FALSE)="",VLOOKUP($C$9,County_Lookup,12,FALSE)=0),"",VLOOKUP($C$9,County_Lookup,12,FALSE)))</f>
        <v/>
      </c>
      <c r="B26" s="49"/>
      <c r="C26" s="41"/>
      <c r="D26" s="41"/>
      <c r="E26" s="41"/>
      <c r="F26" s="41"/>
      <c r="G26" s="41"/>
      <c r="H26" s="42" t="str">
        <f t="shared" si="0"/>
        <v/>
      </c>
      <c r="I26" s="49"/>
      <c r="J26" s="41"/>
      <c r="K26" s="41"/>
      <c r="L26" s="41"/>
      <c r="M26" s="41"/>
      <c r="N26" s="41"/>
      <c r="O26" s="42" t="str">
        <f t="shared" si="1"/>
        <v/>
      </c>
      <c r="P26" s="49"/>
      <c r="Q26" s="41"/>
      <c r="R26" s="41"/>
      <c r="S26" s="41"/>
      <c r="T26" s="41"/>
      <c r="U26" s="41"/>
      <c r="V26" s="236" t="str">
        <f t="shared" si="2"/>
        <v/>
      </c>
    </row>
    <row r="27" spans="1:22" ht="18" customHeight="1">
      <c r="A27" s="74" t="str">
        <f>IF($C$9="Data Not Entered On Set-Up Worksheet","",IF(OR(VLOOKUP($C$9,County_Lookup,13,FALSE)="",VLOOKUP($C$9,County_Lookup,13,FALSE)=0),"",VLOOKUP($C$9,County_Lookup,13,FALSE)))</f>
        <v/>
      </c>
      <c r="B27" s="49"/>
      <c r="C27" s="41"/>
      <c r="D27" s="41"/>
      <c r="E27" s="41"/>
      <c r="F27" s="41"/>
      <c r="G27" s="41"/>
      <c r="H27" s="42" t="str">
        <f t="shared" si="0"/>
        <v/>
      </c>
      <c r="I27" s="49"/>
      <c r="J27" s="41"/>
      <c r="K27" s="41"/>
      <c r="L27" s="41"/>
      <c r="M27" s="41"/>
      <c r="N27" s="41"/>
      <c r="O27" s="42" t="str">
        <f t="shared" si="1"/>
        <v/>
      </c>
      <c r="P27" s="49"/>
      <c r="Q27" s="41"/>
      <c r="R27" s="41"/>
      <c r="S27" s="41"/>
      <c r="T27" s="41"/>
      <c r="U27" s="41"/>
      <c r="V27" s="236" t="str">
        <f t="shared" si="2"/>
        <v/>
      </c>
    </row>
    <row r="28" spans="1:22" ht="18" customHeight="1">
      <c r="A28" s="74" t="str">
        <f>IF($C$9="Data Not Entered On Set-Up Worksheet","",IF(OR(VLOOKUP($C$9,County_Lookup,14,FALSE)="",VLOOKUP($C$9,County_Lookup,14,FALSE)=0),"",VLOOKUP($C$9,County_Lookup,14,FALSE)))</f>
        <v/>
      </c>
      <c r="B28" s="49"/>
      <c r="C28" s="41"/>
      <c r="D28" s="41"/>
      <c r="E28" s="41"/>
      <c r="F28" s="41"/>
      <c r="G28" s="41"/>
      <c r="H28" s="42" t="str">
        <f t="shared" si="0"/>
        <v/>
      </c>
      <c r="I28" s="49"/>
      <c r="J28" s="41"/>
      <c r="K28" s="41"/>
      <c r="L28" s="41"/>
      <c r="M28" s="41"/>
      <c r="N28" s="41"/>
      <c r="O28" s="42" t="str">
        <f t="shared" si="1"/>
        <v/>
      </c>
      <c r="P28" s="49"/>
      <c r="Q28" s="41"/>
      <c r="R28" s="41"/>
      <c r="S28" s="41"/>
      <c r="T28" s="41"/>
      <c r="U28" s="41"/>
      <c r="V28" s="236" t="str">
        <f t="shared" si="2"/>
        <v/>
      </c>
    </row>
    <row r="29" spans="1:22" ht="18" customHeight="1">
      <c r="A29" s="73" t="str">
        <f>IF($C$9="Data Not Entered On Set-Up Worksheet","",IF(OR(VLOOKUP($C$9,County_Lookup,15,FALSE)="",VLOOKUP($C$9,County_Lookup,15,FALSE)=0),"",VLOOKUP($C$9,County_Lookup,15,FALSE)))</f>
        <v/>
      </c>
      <c r="B29" s="49"/>
      <c r="C29" s="41"/>
      <c r="D29" s="41"/>
      <c r="E29" s="41"/>
      <c r="F29" s="41"/>
      <c r="G29" s="41"/>
      <c r="H29" s="42" t="str">
        <f t="shared" si="0"/>
        <v/>
      </c>
      <c r="I29" s="49"/>
      <c r="J29" s="41"/>
      <c r="K29" s="41"/>
      <c r="L29" s="41"/>
      <c r="M29" s="41"/>
      <c r="N29" s="41"/>
      <c r="O29" s="42" t="str">
        <f t="shared" si="1"/>
        <v/>
      </c>
      <c r="P29" s="49"/>
      <c r="Q29" s="41"/>
      <c r="R29" s="41"/>
      <c r="S29" s="41"/>
      <c r="T29" s="41"/>
      <c r="U29" s="41"/>
      <c r="V29" s="236" t="str">
        <f t="shared" si="2"/>
        <v/>
      </c>
    </row>
    <row r="30" spans="1:22" ht="18" customHeight="1">
      <c r="A30" s="74" t="str">
        <f>IF($C$9="Data Not Entered On Set-Up Worksheet","",IF(OR(VLOOKUP($C$9,County_Lookup,16,FALSE)="",VLOOKUP($C$9,County_Lookup,16,FALSE)=0),"",VLOOKUP($C$9,County_Lookup,16,FALSE)))</f>
        <v/>
      </c>
      <c r="B30" s="49"/>
      <c r="C30" s="41"/>
      <c r="D30" s="41"/>
      <c r="E30" s="41"/>
      <c r="F30" s="41"/>
      <c r="G30" s="41"/>
      <c r="H30" s="42" t="str">
        <f t="shared" si="0"/>
        <v/>
      </c>
      <c r="I30" s="49"/>
      <c r="J30" s="41"/>
      <c r="K30" s="41"/>
      <c r="L30" s="41"/>
      <c r="M30" s="41"/>
      <c r="N30" s="41"/>
      <c r="O30" s="42" t="str">
        <f t="shared" si="1"/>
        <v/>
      </c>
      <c r="P30" s="49"/>
      <c r="Q30" s="41"/>
      <c r="R30" s="41"/>
      <c r="S30" s="41"/>
      <c r="T30" s="41"/>
      <c r="U30" s="41"/>
      <c r="V30" s="236" t="str">
        <f t="shared" si="2"/>
        <v/>
      </c>
    </row>
    <row r="31" spans="1:22" ht="18" customHeight="1">
      <c r="A31" s="74" t="str">
        <f>IF($C$9="Data Not Entered On Set-Up Worksheet","",IF(OR(VLOOKUP($C$9,County_Lookup,17,FALSE)="",VLOOKUP($C$9,County_Lookup,17,FALSE)=0),"",VLOOKUP($C$9,County_Lookup,17,FALSE)))</f>
        <v/>
      </c>
      <c r="B31" s="49"/>
      <c r="C31" s="41"/>
      <c r="D31" s="41"/>
      <c r="E31" s="41"/>
      <c r="F31" s="41"/>
      <c r="G31" s="41"/>
      <c r="H31" s="42" t="str">
        <f t="shared" si="0"/>
        <v/>
      </c>
      <c r="I31" s="49"/>
      <c r="J31" s="41"/>
      <c r="K31" s="41"/>
      <c r="L31" s="41"/>
      <c r="M31" s="41"/>
      <c r="N31" s="41"/>
      <c r="O31" s="42" t="str">
        <f t="shared" si="1"/>
        <v/>
      </c>
      <c r="P31" s="49"/>
      <c r="Q31" s="41"/>
      <c r="R31" s="41"/>
      <c r="S31" s="41"/>
      <c r="T31" s="41"/>
      <c r="U31" s="41"/>
      <c r="V31" s="236" t="str">
        <f t="shared" si="2"/>
        <v/>
      </c>
    </row>
    <row r="32" spans="1:22" ht="18" customHeight="1">
      <c r="A32" s="74" t="str">
        <f>IF($C$9="Data Not Entered On Set-Up Worksheet","",IF(OR(VLOOKUP($C$9,County_Lookup,18,FALSE)="",VLOOKUP($C$9,County_Lookup,18,FALSE)=0),"",VLOOKUP($C$9,County_Lookup,18,FALSE)))</f>
        <v/>
      </c>
      <c r="B32" s="49"/>
      <c r="C32" s="41"/>
      <c r="D32" s="41"/>
      <c r="E32" s="41"/>
      <c r="F32" s="41"/>
      <c r="G32" s="41"/>
      <c r="H32" s="42" t="str">
        <f t="shared" si="0"/>
        <v/>
      </c>
      <c r="I32" s="49"/>
      <c r="J32" s="41"/>
      <c r="K32" s="41"/>
      <c r="L32" s="41"/>
      <c r="M32" s="41"/>
      <c r="N32" s="41"/>
      <c r="O32" s="42" t="str">
        <f t="shared" si="1"/>
        <v/>
      </c>
      <c r="P32" s="49"/>
      <c r="Q32" s="41"/>
      <c r="R32" s="41"/>
      <c r="S32" s="41"/>
      <c r="T32" s="41"/>
      <c r="U32" s="41"/>
      <c r="V32" s="236" t="str">
        <f t="shared" si="2"/>
        <v/>
      </c>
    </row>
    <row r="33" spans="1:22" ht="18" customHeight="1">
      <c r="A33" s="74" t="str">
        <f>IF($C$9="Data Not Entered On Set-Up Worksheet","",IF(OR(VLOOKUP($C$9,County_Lookup,19,FALSE)="",VLOOKUP($C$9,County_Lookup,19,FALSE)=0),"",VLOOKUP($C$9,County_Lookup,19,FALSE)))</f>
        <v/>
      </c>
      <c r="B33" s="49"/>
      <c r="C33" s="41"/>
      <c r="D33" s="41"/>
      <c r="E33" s="41"/>
      <c r="F33" s="41"/>
      <c r="G33" s="41"/>
      <c r="H33" s="42" t="str">
        <f t="shared" si="0"/>
        <v/>
      </c>
      <c r="I33" s="49"/>
      <c r="J33" s="41"/>
      <c r="K33" s="41"/>
      <c r="L33" s="41"/>
      <c r="M33" s="41"/>
      <c r="N33" s="41"/>
      <c r="O33" s="42" t="str">
        <f t="shared" si="1"/>
        <v/>
      </c>
      <c r="P33" s="49"/>
      <c r="Q33" s="41"/>
      <c r="R33" s="41"/>
      <c r="S33" s="41"/>
      <c r="T33" s="41"/>
      <c r="U33" s="41"/>
      <c r="V33" s="236" t="str">
        <f t="shared" si="2"/>
        <v/>
      </c>
    </row>
    <row r="34" spans="1:22" ht="18" customHeight="1">
      <c r="A34" s="74" t="str">
        <f>IF($C$9="Data Not Entered On Set-Up Worksheet","",IF(OR(VLOOKUP($C$9,County_Lookup,20,FALSE)="",VLOOKUP($C$9,County_Lookup,20,FALSE)=0),"",VLOOKUP($C$9,County_Lookup,20,FALSE)))</f>
        <v/>
      </c>
      <c r="B34" s="49"/>
      <c r="C34" s="41"/>
      <c r="D34" s="41"/>
      <c r="E34" s="41"/>
      <c r="F34" s="41"/>
      <c r="G34" s="41"/>
      <c r="H34" s="42" t="str">
        <f t="shared" si="0"/>
        <v/>
      </c>
      <c r="I34" s="49"/>
      <c r="J34" s="41"/>
      <c r="K34" s="41"/>
      <c r="L34" s="41"/>
      <c r="M34" s="41"/>
      <c r="N34" s="41"/>
      <c r="O34" s="42" t="str">
        <f t="shared" si="1"/>
        <v/>
      </c>
      <c r="P34" s="49"/>
      <c r="Q34" s="41"/>
      <c r="R34" s="41"/>
      <c r="S34" s="41"/>
      <c r="T34" s="41"/>
      <c r="U34" s="41"/>
      <c r="V34" s="236" t="str">
        <f t="shared" si="2"/>
        <v/>
      </c>
    </row>
    <row r="35" spans="1:22" ht="18" customHeight="1">
      <c r="A35" s="74" t="str">
        <f>IF($C$9="Data Not Entered On Set-Up Worksheet","",IF(OR(VLOOKUP($C$9,County_Lookup,21,FALSE)="",VLOOKUP($C$9,County_Lookup,21,FALSE)=0),"",VLOOKUP($C$9,County_Lookup,21,FALSE)))</f>
        <v/>
      </c>
      <c r="B35" s="49"/>
      <c r="C35" s="41"/>
      <c r="D35" s="41"/>
      <c r="E35" s="41"/>
      <c r="F35" s="41"/>
      <c r="G35" s="41"/>
      <c r="H35" s="42" t="str">
        <f t="shared" si="0"/>
        <v/>
      </c>
      <c r="I35" s="49"/>
      <c r="J35" s="41"/>
      <c r="K35" s="41"/>
      <c r="L35" s="41"/>
      <c r="M35" s="41"/>
      <c r="N35" s="41"/>
      <c r="O35" s="42" t="str">
        <f t="shared" si="1"/>
        <v/>
      </c>
      <c r="P35" s="49"/>
      <c r="Q35" s="41"/>
      <c r="R35" s="41"/>
      <c r="S35" s="41"/>
      <c r="T35" s="41"/>
      <c r="U35" s="41"/>
      <c r="V35" s="236" t="str">
        <f t="shared" si="2"/>
        <v/>
      </c>
    </row>
    <row r="36" spans="1:22" ht="18" customHeight="1">
      <c r="A36" s="73" t="str">
        <f>IF($C$9="Data Not Entered On Set-Up Worksheet","",IF(OR(VLOOKUP($C$9,County_Lookup,22,FALSE)="",VLOOKUP($C$9,County_Lookup,22,FALSE)=0),"",VLOOKUP($C$9,County_Lookup,22,FALSE)))</f>
        <v/>
      </c>
      <c r="B36" s="49"/>
      <c r="C36" s="41"/>
      <c r="D36" s="41"/>
      <c r="E36" s="41"/>
      <c r="F36" s="41"/>
      <c r="G36" s="41"/>
      <c r="H36" s="42" t="str">
        <f t="shared" si="0"/>
        <v/>
      </c>
      <c r="I36" s="49"/>
      <c r="J36" s="41"/>
      <c r="K36" s="41"/>
      <c r="L36" s="41"/>
      <c r="M36" s="41"/>
      <c r="N36" s="41"/>
      <c r="O36" s="42" t="str">
        <f t="shared" si="1"/>
        <v/>
      </c>
      <c r="P36" s="49"/>
      <c r="Q36" s="41"/>
      <c r="R36" s="41"/>
      <c r="S36" s="41"/>
      <c r="T36" s="41"/>
      <c r="U36" s="41"/>
      <c r="V36" s="236" t="str">
        <f t="shared" si="2"/>
        <v/>
      </c>
    </row>
    <row r="37" spans="1:22" ht="18" customHeight="1">
      <c r="A37" s="74" t="str">
        <f>IF($C$9="Data Not Entered On Set-Up Worksheet","",IF(OR(VLOOKUP($C$9,County_Lookup,23,FALSE)="",VLOOKUP($C$9,County_Lookup,23,FALSE)=0),"",VLOOKUP($C$9,County_Lookup,23,FALSE)))</f>
        <v/>
      </c>
      <c r="B37" s="49"/>
      <c r="C37" s="41"/>
      <c r="D37" s="41"/>
      <c r="E37" s="41"/>
      <c r="F37" s="41"/>
      <c r="G37" s="41"/>
      <c r="H37" s="42" t="str">
        <f t="shared" si="0"/>
        <v/>
      </c>
      <c r="I37" s="49"/>
      <c r="J37" s="41"/>
      <c r="K37" s="41"/>
      <c r="L37" s="41"/>
      <c r="M37" s="41"/>
      <c r="N37" s="41"/>
      <c r="O37" s="42" t="str">
        <f t="shared" si="1"/>
        <v/>
      </c>
      <c r="P37" s="49"/>
      <c r="Q37" s="41"/>
      <c r="R37" s="41"/>
      <c r="S37" s="41"/>
      <c r="T37" s="41"/>
      <c r="U37" s="41"/>
      <c r="V37" s="236" t="str">
        <f t="shared" si="2"/>
        <v/>
      </c>
    </row>
    <row r="38" spans="1:22" ht="18" customHeight="1">
      <c r="A38" s="74" t="str">
        <f>IF($C$9="Data Not Entered On Set-Up Worksheet","",IF(OR(VLOOKUP($C$9,County_Lookup,24,FALSE)="",VLOOKUP($C$9,County_Lookup,24,FALSE)=0),"",VLOOKUP($C$9,County_Lookup,24,FALSE)))</f>
        <v/>
      </c>
      <c r="B38" s="49"/>
      <c r="C38" s="41"/>
      <c r="D38" s="41"/>
      <c r="E38" s="41"/>
      <c r="F38" s="41"/>
      <c r="G38" s="41"/>
      <c r="H38" s="42" t="str">
        <f t="shared" ref="H38:H41" si="3">IF($A38="","",IF($G38=0,0,B38/$G38))</f>
        <v/>
      </c>
      <c r="I38" s="49"/>
      <c r="J38" s="41"/>
      <c r="K38" s="41"/>
      <c r="L38" s="41"/>
      <c r="M38" s="41"/>
      <c r="N38" s="41"/>
      <c r="O38" s="42" t="str">
        <f t="shared" ref="O38:O41" si="4">IF($A38="","",IF($N38=0,0,I38/$N38))</f>
        <v/>
      </c>
      <c r="P38" s="49"/>
      <c r="Q38" s="41"/>
      <c r="R38" s="41"/>
      <c r="S38" s="41"/>
      <c r="T38" s="41"/>
      <c r="U38" s="41"/>
      <c r="V38" s="236" t="str">
        <f t="shared" ref="V38:V41" si="5">IF($A38="","",IF($U38=0,0,P38/$U38))</f>
        <v/>
      </c>
    </row>
    <row r="39" spans="1:22" ht="18" customHeight="1">
      <c r="A39" s="74" t="str">
        <f>IF($C$9="Data Not Entered On Set-Up Worksheet","",IF(OR(VLOOKUP($C$9,County_Lookup,25,FALSE)="",VLOOKUP($C$9,County_Lookup,25,FALSE)=0),"",VLOOKUP($C$9,County_Lookup,25,FALSE)))</f>
        <v/>
      </c>
      <c r="B39" s="49"/>
      <c r="C39" s="41"/>
      <c r="D39" s="41"/>
      <c r="E39" s="41"/>
      <c r="F39" s="41"/>
      <c r="G39" s="41"/>
      <c r="H39" s="42" t="str">
        <f t="shared" si="3"/>
        <v/>
      </c>
      <c r="I39" s="49"/>
      <c r="J39" s="41"/>
      <c r="K39" s="41"/>
      <c r="L39" s="41"/>
      <c r="M39" s="41"/>
      <c r="N39" s="41"/>
      <c r="O39" s="42" t="str">
        <f t="shared" si="4"/>
        <v/>
      </c>
      <c r="P39" s="49"/>
      <c r="Q39" s="41"/>
      <c r="R39" s="41"/>
      <c r="S39" s="41"/>
      <c r="T39" s="41"/>
      <c r="U39" s="41"/>
      <c r="V39" s="236" t="str">
        <f t="shared" si="5"/>
        <v/>
      </c>
    </row>
    <row r="40" spans="1:22" ht="18" customHeight="1">
      <c r="A40" s="74" t="str">
        <f>IF($C$9="Data Not Entered On Set-Up Worksheet","",IF(OR(VLOOKUP($C$9,County_Lookup,26,FALSE)="",VLOOKUP($C$9,County_Lookup,26,FALSE)=0),"",VLOOKUP($C$9,County_Lookup,26,FALSE)))</f>
        <v/>
      </c>
      <c r="B40" s="49"/>
      <c r="C40" s="41"/>
      <c r="D40" s="41"/>
      <c r="E40" s="41"/>
      <c r="F40" s="41"/>
      <c r="G40" s="41"/>
      <c r="H40" s="42" t="str">
        <f t="shared" si="3"/>
        <v/>
      </c>
      <c r="I40" s="49"/>
      <c r="J40" s="41"/>
      <c r="K40" s="41"/>
      <c r="L40" s="41"/>
      <c r="M40" s="41"/>
      <c r="N40" s="41"/>
      <c r="O40" s="42" t="str">
        <f t="shared" si="4"/>
        <v/>
      </c>
      <c r="P40" s="49"/>
      <c r="Q40" s="41"/>
      <c r="R40" s="41"/>
      <c r="S40" s="41"/>
      <c r="T40" s="41"/>
      <c r="U40" s="41"/>
      <c r="V40" s="236" t="str">
        <f t="shared" si="5"/>
        <v/>
      </c>
    </row>
    <row r="41" spans="1:22" ht="18" customHeight="1">
      <c r="A41" s="74" t="str">
        <f>IF($C$9="Data Not Entered On Set-Up Worksheet","",IF(OR(VLOOKUP($C$9,County_Lookup,27,FALSE)="",VLOOKUP($C$9,County_Lookup,27,FALSE)=0),"",VLOOKUP($C$9,County_Lookup,27,FALSE)))</f>
        <v/>
      </c>
      <c r="B41" s="49"/>
      <c r="C41" s="41"/>
      <c r="D41" s="41"/>
      <c r="E41" s="41"/>
      <c r="F41" s="41"/>
      <c r="G41" s="41"/>
      <c r="H41" s="42" t="str">
        <f t="shared" si="3"/>
        <v/>
      </c>
      <c r="I41" s="49"/>
      <c r="J41" s="41"/>
      <c r="K41" s="41"/>
      <c r="L41" s="41"/>
      <c r="M41" s="41"/>
      <c r="N41" s="41"/>
      <c r="O41" s="42" t="str">
        <f t="shared" si="4"/>
        <v/>
      </c>
      <c r="P41" s="49"/>
      <c r="Q41" s="41"/>
      <c r="R41" s="41"/>
      <c r="S41" s="41"/>
      <c r="T41" s="41"/>
      <c r="U41" s="41"/>
      <c r="V41" s="236" t="str">
        <f t="shared" si="5"/>
        <v/>
      </c>
    </row>
    <row r="42" spans="1:22" ht="18" customHeight="1">
      <c r="A42" s="74" t="str">
        <f>IF($C$9="Data Not Entered On Set-Up Worksheet","",IF(OR(VLOOKUP($C$9,County_Lookup,28,FALSE)="",VLOOKUP($C$9,County_Lookup,28,FALSE)=0),"",VLOOKUP($C$9,County_Lookup,28,FALSE)))</f>
        <v/>
      </c>
      <c r="B42" s="49"/>
      <c r="C42" s="41"/>
      <c r="D42" s="41"/>
      <c r="E42" s="41"/>
      <c r="F42" s="41"/>
      <c r="G42" s="41"/>
      <c r="H42" s="42" t="str">
        <f t="shared" si="0"/>
        <v/>
      </c>
      <c r="I42" s="49"/>
      <c r="J42" s="41"/>
      <c r="K42" s="41"/>
      <c r="L42" s="41"/>
      <c r="M42" s="41"/>
      <c r="N42" s="41"/>
      <c r="O42" s="42" t="str">
        <f t="shared" si="1"/>
        <v/>
      </c>
      <c r="P42" s="49"/>
      <c r="Q42" s="41"/>
      <c r="R42" s="41"/>
      <c r="S42" s="41"/>
      <c r="T42" s="41"/>
      <c r="U42" s="41"/>
      <c r="V42" s="236" t="str">
        <f t="shared" si="2"/>
        <v/>
      </c>
    </row>
    <row r="43" spans="1:22" ht="18" customHeight="1" thickBot="1">
      <c r="A43" s="75" t="s">
        <v>0</v>
      </c>
      <c r="B43" s="237">
        <f>SUM(B16:B42)</f>
        <v>0</v>
      </c>
      <c r="C43" s="238">
        <f t="shared" ref="C43:G43" si="6">SUM(C16:C42)</f>
        <v>0</v>
      </c>
      <c r="D43" s="238">
        <f t="shared" si="6"/>
        <v>0</v>
      </c>
      <c r="E43" s="238">
        <f t="shared" ref="E43" si="7">SUM(E16:E42)</f>
        <v>0</v>
      </c>
      <c r="F43" s="238">
        <f t="shared" si="6"/>
        <v>0</v>
      </c>
      <c r="G43" s="238">
        <f t="shared" si="6"/>
        <v>0</v>
      </c>
      <c r="H43" s="242">
        <f t="shared" si="0"/>
        <v>0</v>
      </c>
      <c r="I43" s="237">
        <f>SUM(I16:I42)</f>
        <v>0</v>
      </c>
      <c r="J43" s="238">
        <f t="shared" ref="J43:N43" si="8">SUM(J16:J42)</f>
        <v>0</v>
      </c>
      <c r="K43" s="238">
        <f t="shared" si="8"/>
        <v>0</v>
      </c>
      <c r="L43" s="238">
        <f t="shared" ref="L43" si="9">SUM(L16:L42)</f>
        <v>0</v>
      </c>
      <c r="M43" s="238">
        <f t="shared" si="8"/>
        <v>0</v>
      </c>
      <c r="N43" s="238">
        <f t="shared" si="8"/>
        <v>0</v>
      </c>
      <c r="O43" s="242">
        <f t="shared" si="1"/>
        <v>0</v>
      </c>
      <c r="P43" s="237">
        <f>SUM(P16:P42)</f>
        <v>0</v>
      </c>
      <c r="Q43" s="238">
        <f t="shared" ref="Q43:U43" si="10">SUM(Q16:Q42)</f>
        <v>0</v>
      </c>
      <c r="R43" s="238">
        <f t="shared" si="10"/>
        <v>0</v>
      </c>
      <c r="S43" s="238">
        <f t="shared" ref="S43" si="11">SUM(S16:S42)</f>
        <v>0</v>
      </c>
      <c r="T43" s="238">
        <f t="shared" si="10"/>
        <v>0</v>
      </c>
      <c r="U43" s="238">
        <f t="shared" si="10"/>
        <v>0</v>
      </c>
      <c r="V43" s="243">
        <f t="shared" si="2"/>
        <v>0</v>
      </c>
    </row>
    <row r="44" spans="1:22">
      <c r="B44" s="22" t="s">
        <v>323</v>
      </c>
      <c r="I44" s="22" t="s">
        <v>323</v>
      </c>
      <c r="P44" s="22" t="s">
        <v>323</v>
      </c>
    </row>
  </sheetData>
  <sheetProtection sheet="1" objects="1" scenarios="1"/>
  <conditionalFormatting sqref="C3:C4">
    <cfRule type="expression" dxfId="358" priority="18">
      <formula>C3="Data Not Entered On Set-Up Worksheet"</formula>
    </cfRule>
  </conditionalFormatting>
  <conditionalFormatting sqref="C9">
    <cfRule type="expression" dxfId="357" priority="17">
      <formula>C9="Data Not Entered On Set-Up Worksheet"</formula>
    </cfRule>
  </conditionalFormatting>
  <conditionalFormatting sqref="B12">
    <cfRule type="expression" dxfId="356" priority="16">
      <formula>B12="Data Not Entered On Set-Up Worksheet"</formula>
    </cfRule>
  </conditionalFormatting>
  <conditionalFormatting sqref="C11">
    <cfRule type="expression" dxfId="355" priority="15">
      <formula>C11="Data Not Entered On Set-Up Worksheet"</formula>
    </cfRule>
  </conditionalFormatting>
  <conditionalFormatting sqref="F11">
    <cfRule type="expression" dxfId="354" priority="13">
      <formula>F11="Data Not Entered On Set-Up Worksheet"</formula>
    </cfRule>
  </conditionalFormatting>
  <conditionalFormatting sqref="B16:G38 I16:N38 P16:U38 P42:U42 I42:N42 B42:G42">
    <cfRule type="expression" dxfId="353" priority="93">
      <formula>AND($A16&lt;&gt;"",B16="")</formula>
    </cfRule>
  </conditionalFormatting>
  <conditionalFormatting sqref="B16:G38 B42:G42">
    <cfRule type="expression" dxfId="352" priority="7">
      <formula>$A16="Other"</formula>
    </cfRule>
  </conditionalFormatting>
  <conditionalFormatting sqref="P39:U39 I39:N39 B39:G39">
    <cfRule type="expression" dxfId="351" priority="6">
      <formula>AND($A39&lt;&gt;"",B39="")</formula>
    </cfRule>
  </conditionalFormatting>
  <conditionalFormatting sqref="B39:G39">
    <cfRule type="expression" dxfId="350" priority="5">
      <formula>$A39="Other"</formula>
    </cfRule>
  </conditionalFormatting>
  <conditionalFormatting sqref="P40:U40 I40:N40 B40:G40">
    <cfRule type="expression" dxfId="349" priority="4">
      <formula>AND($A40&lt;&gt;"",B40="")</formula>
    </cfRule>
  </conditionalFormatting>
  <conditionalFormatting sqref="B40:G40">
    <cfRule type="expression" dxfId="348" priority="3">
      <formula>$A40="Other"</formula>
    </cfRule>
  </conditionalFormatting>
  <conditionalFormatting sqref="P41:U41 I41:N41 B41:G41">
    <cfRule type="expression" dxfId="347" priority="2">
      <formula>AND($A41&lt;&gt;"",B41="")</formula>
    </cfRule>
  </conditionalFormatting>
  <conditionalFormatting sqref="B41:G41">
    <cfRule type="expression" dxfId="346" priority="1">
      <formula>$A41="Other"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K16"/>
  <sheetViews>
    <sheetView showGridLines="0" workbookViewId="0">
      <selection activeCell="A13" sqref="A13"/>
    </sheetView>
  </sheetViews>
  <sheetFormatPr defaultRowHeight="12.75"/>
  <cols>
    <col min="1" max="1" width="22.42578125" style="22" customWidth="1"/>
    <col min="2" max="16384" width="9.140625" style="22"/>
  </cols>
  <sheetData>
    <row r="1" spans="1:11" ht="15" customHeight="1">
      <c r="A1" s="35" t="s">
        <v>23</v>
      </c>
    </row>
    <row r="2" spans="1:11" ht="15" customHeight="1">
      <c r="A2" s="35" t="s">
        <v>187</v>
      </c>
    </row>
    <row r="3" spans="1:11" ht="15" customHeight="1">
      <c r="A3" s="30" t="s">
        <v>185</v>
      </c>
      <c r="C3" s="138">
        <f>IF('Set-Up Worksheet'!F3="","Data Not Entered On Set-Up Worksheet",'Set-Up Worksheet'!F3)</f>
        <v>2021</v>
      </c>
    </row>
    <row r="4" spans="1:11" ht="15" customHeight="1">
      <c r="A4" s="30" t="s">
        <v>186</v>
      </c>
      <c r="C4" s="138" t="str">
        <f>IF('Set-Up Worksheet'!F4="","Data Not Entered On Set-Up Worksheet",'Set-Up Worksheet'!F4)</f>
        <v>1st Quarter</v>
      </c>
    </row>
    <row r="5" spans="1:11" ht="15" customHeight="1">
      <c r="C5" s="32"/>
    </row>
    <row r="6" spans="1:11" ht="15" customHeight="1">
      <c r="A6" s="30" t="s">
        <v>184</v>
      </c>
      <c r="C6" s="32"/>
    </row>
    <row r="7" spans="1:11" ht="15" customHeight="1">
      <c r="A7" s="30" t="s">
        <v>446</v>
      </c>
      <c r="C7" s="32"/>
    </row>
    <row r="8" spans="1:11" ht="15" customHeight="1">
      <c r="A8" s="30"/>
      <c r="C8" s="32"/>
    </row>
    <row r="9" spans="1:11" ht="15" customHeight="1">
      <c r="A9" s="30" t="s">
        <v>24</v>
      </c>
      <c r="C9" s="38" t="str">
        <f>IF('Set-Up Worksheet'!E7="","Data Not Entered On Set-Up Worksheet",'Set-Up Worksheet'!E7)</f>
        <v>Data Not Entered On Set-Up Worksheet</v>
      </c>
    </row>
    <row r="10" spans="1:11" ht="15" customHeight="1">
      <c r="A10" s="30" t="s">
        <v>9</v>
      </c>
      <c r="C10" s="32" t="s">
        <v>10</v>
      </c>
    </row>
    <row r="11" spans="1:11" ht="15" customHeight="1">
      <c r="A11" s="30" t="s">
        <v>188</v>
      </c>
      <c r="C11" s="39" t="str">
        <f>IF(C4="Data Not Entered On Set-Up Worksheet","Data Not Entered On Set-Up Worksheet",IF(C4="1st Quarter",'Report Schedule'!D10,IF(C4="2nd Quarter",'Report Schedule'!E10,IF(C4="3rd Quarter",'Report Schedule'!F10,IF(C4="4th Quarter",'Report Schedule'!G10,"")))))</f>
        <v>Jul - Sep 2020</v>
      </c>
    </row>
    <row r="14" spans="1:11" ht="60.75" customHeight="1">
      <c r="A14" s="443" t="s">
        <v>448</v>
      </c>
      <c r="B14" s="443"/>
      <c r="C14" s="443"/>
      <c r="D14" s="443"/>
      <c r="E14" s="443"/>
      <c r="F14" s="443"/>
      <c r="G14" s="443"/>
      <c r="H14" s="443"/>
      <c r="I14" s="443"/>
      <c r="J14" s="443"/>
      <c r="K14" s="46"/>
    </row>
    <row r="15" spans="1:11">
      <c r="A15" s="46"/>
      <c r="B15" s="46"/>
      <c r="C15" s="46"/>
      <c r="D15" s="46"/>
      <c r="E15" s="46"/>
      <c r="F15" s="46"/>
      <c r="G15" s="46"/>
      <c r="H15" s="46"/>
      <c r="I15" s="46"/>
      <c r="J15" s="46"/>
      <c r="K15" s="46"/>
    </row>
    <row r="16" spans="1:11">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106" priority="3">
      <formula>C3="Data Not Entered On Set-Up Worksheet"</formula>
    </cfRule>
  </conditionalFormatting>
  <conditionalFormatting sqref="C9">
    <cfRule type="expression" dxfId="1105" priority="2">
      <formula>C9="Data Not Entered On Set-Up Worksheet"</formula>
    </cfRule>
  </conditionalFormatting>
  <conditionalFormatting sqref="C11">
    <cfRule type="expression" dxfId="1104"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sheetPr>
  <dimension ref="A1:BF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20.7109375" style="22" customWidth="1"/>
    <col min="47" max="47" width="8.85546875" style="22" bestFit="1" customWidth="1"/>
    <col min="48" max="16384" width="9.140625" style="22"/>
  </cols>
  <sheetData>
    <row r="1" spans="1:58" ht="15" customHeight="1">
      <c r="A1" s="35" t="s">
        <v>23</v>
      </c>
      <c r="Q1" s="35" t="s">
        <v>254</v>
      </c>
      <c r="AF1" s="35" t="s">
        <v>254</v>
      </c>
    </row>
    <row r="2" spans="1:58" ht="15" customHeight="1">
      <c r="A2" s="35" t="s">
        <v>187</v>
      </c>
      <c r="Q2" s="35" t="s">
        <v>255</v>
      </c>
      <c r="AF2" s="35" t="s">
        <v>255</v>
      </c>
    </row>
    <row r="3" spans="1:58" ht="15" customHeight="1">
      <c r="A3" s="30" t="s">
        <v>185</v>
      </c>
      <c r="C3" s="138">
        <f>IF('Set-Up Worksheet'!$F$3="","Data Not Entered On Set-Up Worksheet",'Set-Up Worksheet'!$F$3)</f>
        <v>2021</v>
      </c>
      <c r="F3" s="37"/>
      <c r="I3" s="37"/>
      <c r="L3" s="37"/>
      <c r="O3" s="37"/>
      <c r="R3" s="138">
        <f>IF('Set-Up Worksheet'!$F$3="","Data Not Entered On Set-Up Worksheet",'Set-Up Worksheet'!$F$3)</f>
        <v>2021</v>
      </c>
      <c r="U3" s="37"/>
      <c r="X3" s="37"/>
      <c r="AA3" s="37"/>
      <c r="AD3" s="37"/>
      <c r="AG3" s="138">
        <f>IF('Set-Up Worksheet'!$F$3="","Data Not Entered On Set-Up Worksheet",'Set-Up Worksheet'!$F$3)</f>
        <v>2021</v>
      </c>
      <c r="AJ3" s="37"/>
      <c r="AM3" s="37"/>
      <c r="AP3" s="37"/>
      <c r="AS3" s="37"/>
    </row>
    <row r="4" spans="1:58" ht="15" customHeight="1">
      <c r="A4" s="30" t="s">
        <v>186</v>
      </c>
      <c r="C4" s="138" t="str">
        <f>IF('Set-Up Worksheet'!$F$4="","Data Not Entered On Set-Up Worksheet",'Set-Up Worksheet'!$F$4)</f>
        <v>1st Quarter</v>
      </c>
      <c r="F4" s="32"/>
      <c r="I4" s="32"/>
      <c r="L4" s="32"/>
      <c r="O4" s="32"/>
      <c r="R4" s="138" t="str">
        <f>IF('Set-Up Worksheet'!$F$4="","Data Not Entered On Set-Up Worksheet",'Set-Up Worksheet'!$F$4)</f>
        <v>1st Quarter</v>
      </c>
      <c r="U4" s="32"/>
      <c r="X4" s="32"/>
      <c r="AA4" s="32"/>
      <c r="AD4" s="32"/>
      <c r="AG4" s="138" t="str">
        <f>IF('Set-Up Worksheet'!$F$4="","Data Not Entered On Set-Up Worksheet",'Set-Up Worksheet'!$F$4)</f>
        <v>1st Quarter</v>
      </c>
      <c r="AJ4" s="32"/>
      <c r="AM4" s="32"/>
      <c r="AP4" s="32"/>
      <c r="AS4" s="32"/>
    </row>
    <row r="5" spans="1:58" ht="15" customHeight="1">
      <c r="A5" s="30"/>
      <c r="C5" s="32"/>
      <c r="F5" s="32"/>
      <c r="I5" s="32"/>
      <c r="L5" s="32"/>
      <c r="O5" s="32"/>
      <c r="R5" s="32"/>
      <c r="U5" s="32"/>
      <c r="X5" s="32"/>
      <c r="AA5" s="32"/>
      <c r="AD5" s="32"/>
      <c r="AG5" s="32"/>
      <c r="AJ5" s="32"/>
      <c r="AM5" s="32"/>
      <c r="AP5" s="32"/>
      <c r="AS5" s="32"/>
    </row>
    <row r="6" spans="1:58" ht="15" customHeight="1">
      <c r="A6" s="30" t="s">
        <v>261</v>
      </c>
      <c r="C6" s="32"/>
      <c r="F6" s="32"/>
      <c r="I6" s="32"/>
      <c r="L6" s="32"/>
      <c r="O6" s="32"/>
      <c r="R6" s="32"/>
      <c r="U6" s="32"/>
      <c r="X6" s="32"/>
      <c r="AA6" s="32"/>
      <c r="AD6" s="32"/>
      <c r="AG6" s="32"/>
      <c r="AJ6" s="32"/>
      <c r="AM6" s="32"/>
      <c r="AP6" s="32"/>
      <c r="AS6" s="32"/>
    </row>
    <row r="7" spans="1:58" ht="15" customHeight="1">
      <c r="A7" s="30" t="s">
        <v>341</v>
      </c>
      <c r="C7" s="32"/>
      <c r="F7" s="32"/>
      <c r="I7" s="32"/>
      <c r="L7" s="32"/>
      <c r="O7" s="32"/>
      <c r="Q7" s="30" t="s">
        <v>413</v>
      </c>
      <c r="R7" s="32"/>
      <c r="U7" s="32"/>
      <c r="X7" s="32"/>
      <c r="AA7" s="32"/>
      <c r="AD7" s="32"/>
      <c r="AF7" s="30" t="s">
        <v>413</v>
      </c>
      <c r="AG7" s="32"/>
      <c r="AJ7" s="32"/>
      <c r="AM7" s="32"/>
      <c r="AP7" s="32"/>
      <c r="AS7" s="32"/>
    </row>
    <row r="8" spans="1:58" ht="15" customHeight="1">
      <c r="A8" s="30"/>
      <c r="C8" s="32"/>
      <c r="F8" s="32"/>
      <c r="I8" s="32"/>
      <c r="L8" s="32"/>
      <c r="O8" s="32"/>
      <c r="R8" s="32"/>
      <c r="U8" s="32"/>
      <c r="X8" s="32"/>
      <c r="AA8" s="32"/>
      <c r="AD8" s="32"/>
      <c r="AG8" s="32"/>
      <c r="AJ8" s="32"/>
      <c r="AM8" s="32"/>
      <c r="AP8" s="32"/>
      <c r="AS8" s="32"/>
      <c r="AX8" s="51"/>
      <c r="AY8" s="51"/>
      <c r="AZ8" s="52"/>
      <c r="BA8" s="51"/>
      <c r="BB8" s="51"/>
      <c r="BC8" s="51"/>
      <c r="BD8" s="51"/>
      <c r="BE8" s="30"/>
      <c r="BF8" s="34"/>
    </row>
    <row r="9" spans="1:58" ht="15" customHeight="1">
      <c r="A9" s="30" t="s">
        <v>24</v>
      </c>
      <c r="C9" s="38" t="str">
        <f>IF('Set-Up Worksheet'!$E$7="","Data Not Entered On Set-Up Worksheet",'Set-Up Worksheet'!$E$7)</f>
        <v>Data Not Entered On Set-Up Worksheet</v>
      </c>
      <c r="I9" s="38"/>
      <c r="L9" s="38"/>
      <c r="O9" s="38"/>
      <c r="R9" s="38" t="str">
        <f>IF('Set-Up Worksheet'!$E$7="","Data Not Entered On Set-Up Worksheet",'Set-Up Worksheet'!$E$7)</f>
        <v>Data Not Entered On Set-Up Worksheet</v>
      </c>
      <c r="X9" s="38"/>
      <c r="AA9" s="38"/>
      <c r="AD9" s="38"/>
      <c r="AG9" s="38" t="str">
        <f>IF('Set-Up Worksheet'!$E$7="","Data Not Entered On Set-Up Worksheet",'Set-Up Worksheet'!$E$7)</f>
        <v>Data Not Entered On Set-Up Worksheet</v>
      </c>
      <c r="AM9" s="38"/>
      <c r="AP9" s="38"/>
      <c r="AS9" s="38"/>
    </row>
    <row r="10" spans="1:58" ht="15" customHeight="1">
      <c r="A10" s="30" t="s">
        <v>9</v>
      </c>
      <c r="C10" s="32" t="s">
        <v>10</v>
      </c>
      <c r="F10" s="32"/>
      <c r="I10" s="32"/>
      <c r="L10" s="32"/>
      <c r="O10" s="32"/>
      <c r="R10" s="32" t="s">
        <v>10</v>
      </c>
      <c r="U10" s="32"/>
      <c r="X10" s="32"/>
      <c r="AA10" s="32"/>
      <c r="AD10" s="32"/>
      <c r="AG10" s="32" t="s">
        <v>10</v>
      </c>
      <c r="AJ10" s="32"/>
      <c r="AM10" s="32"/>
      <c r="AP10" s="32"/>
      <c r="AS10" s="32"/>
    </row>
    <row r="11" spans="1:58" ht="15" customHeight="1">
      <c r="A11" s="30" t="s">
        <v>188</v>
      </c>
      <c r="C11" s="39" t="str">
        <f>IF($C$4="Data Not Entered On Set-Up Worksheet","Data Not Entered On Set-Up Worksheet",IF($C$4="1st Quarter",'Report Schedule'!$D$49,IF($C$4="2nd Quarter",'Report Schedule'!$E$49,IF($C$4="3rd Quarter",'Report Schedule'!$F$49,IF($C$4="4th Quarter",'Report Schedule'!$G$49,"")))))</f>
        <v>Jul 2019 - Jun 2020</v>
      </c>
      <c r="F11" s="76" t="s">
        <v>35</v>
      </c>
      <c r="I11" s="39"/>
      <c r="L11" s="39"/>
      <c r="O11" s="39"/>
      <c r="R11" s="39" t="str">
        <f>IF($C$4="Data Not Entered On Set-Up Worksheet","Data Not Entered On Set-Up Worksheet",IF($C$4="1st Quarter",'Report Schedule'!$D$49,IF($C$4="2nd Quarter",'Report Schedule'!$E$49,IF($C$4="3rd Quarter",'Report Schedule'!$F$49,IF($C$4="4th Quarter",'Report Schedule'!$G$49,"")))))</f>
        <v>Jul 2019 - Jun 2020</v>
      </c>
      <c r="U11" s="76" t="s">
        <v>35</v>
      </c>
      <c r="X11" s="39"/>
      <c r="AA11" s="39"/>
      <c r="AD11" s="39"/>
      <c r="AG11" s="39" t="str">
        <f>IF($C$4="Data Not Entered On Set-Up Worksheet","Data Not Entered On Set-Up Worksheet",IF($C$4="1st Quarter",'Report Schedule'!$D$49,IF($C$4="2nd Quarter",'Report Schedule'!$E$49,IF($C$4="3rd Quarter",'Report Schedule'!$F$49,IF($C$4="4th Quarter",'Report Schedule'!$G$49,"")))))</f>
        <v>Jul 2019 - Jun 2020</v>
      </c>
      <c r="AJ11" s="76" t="s">
        <v>35</v>
      </c>
      <c r="AM11" s="39"/>
      <c r="AP11" s="39"/>
      <c r="AS11" s="39"/>
    </row>
    <row r="12" spans="1:58" ht="15" customHeight="1">
      <c r="A12" s="30"/>
      <c r="C12" s="39"/>
      <c r="F12" s="76"/>
      <c r="I12" s="39"/>
      <c r="L12" s="39"/>
      <c r="O12" s="39"/>
      <c r="R12" s="39"/>
      <c r="U12" s="76"/>
      <c r="X12" s="39"/>
      <c r="AA12" s="39"/>
      <c r="AD12" s="39"/>
      <c r="AG12" s="39"/>
      <c r="AJ12" s="76"/>
      <c r="AM12" s="39"/>
      <c r="AP12" s="39"/>
      <c r="AS12" s="39"/>
    </row>
    <row r="13" spans="1:58" ht="15" customHeight="1" thickBot="1">
      <c r="B13" s="48"/>
      <c r="C13" s="48"/>
      <c r="D13" s="48"/>
      <c r="E13" s="48"/>
      <c r="F13" s="48"/>
      <c r="G13" s="48"/>
      <c r="H13" s="48"/>
      <c r="I13" s="48"/>
      <c r="J13" s="48"/>
      <c r="K13" s="48"/>
      <c r="L13" s="347"/>
      <c r="M13" s="347"/>
      <c r="N13" s="48"/>
      <c r="O13" s="347"/>
      <c r="P13" s="347"/>
      <c r="Q13" s="48"/>
      <c r="R13" s="48"/>
      <c r="S13" s="48"/>
      <c r="T13" s="48"/>
      <c r="U13" s="48"/>
      <c r="V13" s="48"/>
      <c r="W13" s="48"/>
      <c r="X13" s="48"/>
      <c r="Y13" s="48"/>
      <c r="Z13" s="48"/>
      <c r="AA13" s="347"/>
      <c r="AB13" s="347"/>
      <c r="AC13" s="48"/>
      <c r="AD13" s="347"/>
      <c r="AE13" s="347"/>
      <c r="AF13" s="48"/>
      <c r="AG13" s="48"/>
      <c r="AH13" s="48"/>
      <c r="AI13" s="48"/>
      <c r="AJ13" s="48"/>
      <c r="AK13" s="48"/>
      <c r="AL13" s="48"/>
      <c r="AM13" s="48"/>
      <c r="AN13" s="48"/>
      <c r="AO13" s="48"/>
      <c r="AP13" s="347"/>
      <c r="AQ13" s="347"/>
      <c r="AR13" s="48"/>
      <c r="AS13" s="347"/>
      <c r="AT13" s="347"/>
    </row>
    <row r="14" spans="1:58" s="34" customFormat="1" ht="30" customHeight="1" thickBot="1">
      <c r="A14" s="30"/>
      <c r="B14" s="275" t="s">
        <v>398</v>
      </c>
      <c r="C14" s="339"/>
      <c r="D14" s="340"/>
      <c r="E14" s="275" t="s">
        <v>399</v>
      </c>
      <c r="F14" s="339"/>
      <c r="G14" s="340"/>
      <c r="H14" s="275" t="s">
        <v>400</v>
      </c>
      <c r="I14" s="339"/>
      <c r="J14" s="340"/>
      <c r="K14" s="275" t="s">
        <v>401</v>
      </c>
      <c r="L14" s="339"/>
      <c r="M14" s="340"/>
      <c r="N14" s="275" t="s">
        <v>402</v>
      </c>
      <c r="O14" s="339"/>
      <c r="P14" s="340"/>
      <c r="Q14" s="341" t="s">
        <v>403</v>
      </c>
      <c r="R14" s="342"/>
      <c r="S14" s="343"/>
      <c r="T14" s="341" t="s">
        <v>404</v>
      </c>
      <c r="U14" s="342"/>
      <c r="V14" s="343"/>
      <c r="W14" s="341" t="s">
        <v>405</v>
      </c>
      <c r="X14" s="342"/>
      <c r="Y14" s="343"/>
      <c r="Z14" s="341" t="s">
        <v>406</v>
      </c>
      <c r="AA14" s="342"/>
      <c r="AB14" s="343"/>
      <c r="AC14" s="341" t="s">
        <v>407</v>
      </c>
      <c r="AD14" s="342"/>
      <c r="AE14" s="343"/>
      <c r="AF14" s="344" t="s">
        <v>408</v>
      </c>
      <c r="AG14" s="345"/>
      <c r="AH14" s="346"/>
      <c r="AI14" s="344" t="s">
        <v>409</v>
      </c>
      <c r="AJ14" s="345"/>
      <c r="AK14" s="346"/>
      <c r="AL14" s="344" t="s">
        <v>410</v>
      </c>
      <c r="AM14" s="345"/>
      <c r="AN14" s="346"/>
      <c r="AO14" s="344" t="s">
        <v>411</v>
      </c>
      <c r="AP14" s="345"/>
      <c r="AQ14" s="346"/>
      <c r="AR14" s="344" t="s">
        <v>412</v>
      </c>
      <c r="AS14" s="345"/>
      <c r="AT14" s="346"/>
    </row>
    <row r="15" spans="1:58" s="34" customFormat="1" ht="13.5" thickBot="1">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80.099999999999994" customHeight="1">
      <c r="A16" s="72" t="s">
        <v>38</v>
      </c>
      <c r="B16" s="155" t="s">
        <v>144</v>
      </c>
      <c r="C16" s="156" t="s">
        <v>394</v>
      </c>
      <c r="D16" s="157" t="s">
        <v>395</v>
      </c>
      <c r="E16" s="155" t="s">
        <v>144</v>
      </c>
      <c r="F16" s="156" t="s">
        <v>394</v>
      </c>
      <c r="G16" s="157" t="s">
        <v>395</v>
      </c>
      <c r="H16" s="155" t="s">
        <v>144</v>
      </c>
      <c r="I16" s="156" t="s">
        <v>394</v>
      </c>
      <c r="J16" s="157" t="s">
        <v>395</v>
      </c>
      <c r="K16" s="155" t="s">
        <v>144</v>
      </c>
      <c r="L16" s="156" t="s">
        <v>394</v>
      </c>
      <c r="M16" s="157" t="s">
        <v>395</v>
      </c>
      <c r="N16" s="155" t="s">
        <v>144</v>
      </c>
      <c r="O16" s="156" t="s">
        <v>394</v>
      </c>
      <c r="P16" s="157" t="s">
        <v>395</v>
      </c>
      <c r="Q16" s="336" t="s">
        <v>144</v>
      </c>
      <c r="R16" s="337" t="s">
        <v>396</v>
      </c>
      <c r="S16" s="338" t="s">
        <v>397</v>
      </c>
      <c r="T16" s="336" t="s">
        <v>144</v>
      </c>
      <c r="U16" s="337" t="s">
        <v>396</v>
      </c>
      <c r="V16" s="338" t="s">
        <v>397</v>
      </c>
      <c r="W16" s="336" t="s">
        <v>144</v>
      </c>
      <c r="X16" s="337" t="s">
        <v>396</v>
      </c>
      <c r="Y16" s="338" t="s">
        <v>397</v>
      </c>
      <c r="Z16" s="336" t="s">
        <v>144</v>
      </c>
      <c r="AA16" s="337" t="s">
        <v>396</v>
      </c>
      <c r="AB16" s="338" t="s">
        <v>397</v>
      </c>
      <c r="AC16" s="336" t="s">
        <v>144</v>
      </c>
      <c r="AD16" s="337" t="s">
        <v>396</v>
      </c>
      <c r="AE16" s="338" t="s">
        <v>397</v>
      </c>
      <c r="AF16" s="63" t="s">
        <v>144</v>
      </c>
      <c r="AG16" s="64" t="s">
        <v>145</v>
      </c>
      <c r="AH16" s="65" t="s">
        <v>143</v>
      </c>
      <c r="AI16" s="63" t="s">
        <v>144</v>
      </c>
      <c r="AJ16" s="64" t="s">
        <v>145</v>
      </c>
      <c r="AK16" s="65" t="s">
        <v>143</v>
      </c>
      <c r="AL16" s="63" t="s">
        <v>144</v>
      </c>
      <c r="AM16" s="64" t="s">
        <v>145</v>
      </c>
      <c r="AN16" s="65" t="s">
        <v>143</v>
      </c>
      <c r="AO16" s="63" t="s">
        <v>144</v>
      </c>
      <c r="AP16" s="64" t="s">
        <v>145</v>
      </c>
      <c r="AQ16" s="65" t="s">
        <v>143</v>
      </c>
      <c r="AR16" s="63" t="s">
        <v>144</v>
      </c>
      <c r="AS16" s="64" t="s">
        <v>145</v>
      </c>
      <c r="AT16" s="65" t="s">
        <v>143</v>
      </c>
    </row>
    <row r="17" spans="1:46" ht="18" customHeight="1">
      <c r="A17" s="73" t="str">
        <f>IF($C$9="Data Not Entered On Set-Up Worksheet","",IF(OR(VLOOKUP($C$9,County_Lookup_MC,2,FALSE)="",VLOOKUP($C$9,County_Lookup_MC,2,FALSE)=0),"",VLOOKUP($C$9,County_Lookup_MC,2,FALSE)))</f>
        <v/>
      </c>
      <c r="B17" s="66"/>
      <c r="C17" s="58"/>
      <c r="D17" s="67" t="str">
        <f>IF($A17="","",IF(C17=0,0,B17/C17))</f>
        <v/>
      </c>
      <c r="E17" s="66"/>
      <c r="F17" s="58"/>
      <c r="G17" s="67" t="str">
        <f>IF($A17="","",IF(F17=0,0,E17/F17))</f>
        <v/>
      </c>
      <c r="H17" s="66"/>
      <c r="I17" s="58"/>
      <c r="J17" s="67" t="str">
        <f>IF($A17="","",IF(I17=0,0,H17/I17))</f>
        <v/>
      </c>
      <c r="K17" s="71" t="str">
        <f>IF($A17="","",SUM(E17,H17))</f>
        <v/>
      </c>
      <c r="L17" s="215" t="str">
        <f>IF($A17="","",SUM(F17,I17))</f>
        <v/>
      </c>
      <c r="M17" s="67" t="str">
        <f>IF($A17="","",IF(L17=0,0,K17/L17))</f>
        <v/>
      </c>
      <c r="N17" s="71" t="str">
        <f t="shared" ref="N17:N42" si="0">IF($A17="","",SUM(B17,E17,H17))</f>
        <v/>
      </c>
      <c r="O17" s="59" t="str">
        <f t="shared" ref="O17:O42" si="1">IF($A17="","",SUM(C17,F17,I17))</f>
        <v/>
      </c>
      <c r="P17" s="67" t="str">
        <f>IF($A17="","",IF(O17=0,0,N17/O17))</f>
        <v/>
      </c>
      <c r="Q17" s="66"/>
      <c r="R17" s="58"/>
      <c r="S17" s="67" t="str">
        <f>IF($A17="","",IF(R17=0,0,Q17/R17))</f>
        <v/>
      </c>
      <c r="T17" s="66"/>
      <c r="U17" s="58"/>
      <c r="V17" s="67" t="str">
        <f>IF($A17="","",IF(U17=0,0,T17/U17))</f>
        <v/>
      </c>
      <c r="W17" s="66"/>
      <c r="X17" s="58"/>
      <c r="Y17" s="67" t="str">
        <f>IF($A17="","",IF(X17=0,0,W17/X17))</f>
        <v/>
      </c>
      <c r="Z17" s="71" t="str">
        <f>IF($A17="","",SUM(T17,W17))</f>
        <v/>
      </c>
      <c r="AA17" s="215" t="str">
        <f>IF($A17="","",SUM(U17,X17))</f>
        <v/>
      </c>
      <c r="AB17" s="67" t="str">
        <f>IF($A17="","",IF(AA17=0,0,Z17/AA17))</f>
        <v/>
      </c>
      <c r="AC17" s="71" t="str">
        <f t="shared" ref="AC17:AC42" si="2">IF($A17="","",SUM(Q17,T17,W17))</f>
        <v/>
      </c>
      <c r="AD17" s="59" t="str">
        <f t="shared" ref="AD17:AD42" si="3">IF($A17="","",SUM(R17,U17,X17))</f>
        <v/>
      </c>
      <c r="AE17" s="67" t="str">
        <f>IF($A17="","",IF(AD17=0,0,AC17/AD17))</f>
        <v/>
      </c>
      <c r="AF17" s="66"/>
      <c r="AG17" s="58"/>
      <c r="AH17" s="67" t="str">
        <f>IF($A17="","",IF(AG17=0,0,AF17/AG17))</f>
        <v/>
      </c>
      <c r="AI17" s="66"/>
      <c r="AJ17" s="58"/>
      <c r="AK17" s="67" t="str">
        <f>IF($A17="","",IF(AJ17=0,0,AI17/AJ17))</f>
        <v/>
      </c>
      <c r="AL17" s="66"/>
      <c r="AM17" s="58"/>
      <c r="AN17" s="67" t="str">
        <f>IF($A17="","",IF(AM17=0,0,AL17/AM17))</f>
        <v/>
      </c>
      <c r="AO17" s="71" t="str">
        <f>IF($A17="","",SUM(AI17,AL17))</f>
        <v/>
      </c>
      <c r="AP17" s="215" t="str">
        <f>IF($A17="","",SUM(AJ17,AM17))</f>
        <v/>
      </c>
      <c r="AQ17" s="67" t="str">
        <f>IF($A17="","",IF(AP17=0,0,AO17/AP17))</f>
        <v/>
      </c>
      <c r="AR17" s="71" t="str">
        <f t="shared" ref="AR17:AR42" si="4">IF($A17="","",SUM(AF17,AI17,AL17))</f>
        <v/>
      </c>
      <c r="AS17" s="59" t="str">
        <f t="shared" ref="AS17:AS42" si="5">IF($A17="","",SUM(AG17,AJ17,AM17))</f>
        <v/>
      </c>
      <c r="AT17" s="67" t="str">
        <f>IF($A17="","",IF(AS17=0,0,AR17/AS17))</f>
        <v/>
      </c>
    </row>
    <row r="18" spans="1:46" ht="18" customHeight="1">
      <c r="A18" s="74" t="str">
        <f>IF($C$9="Data Not Entered On Set-Up Worksheet","",IF(OR(VLOOKUP($C$9,County_Lookup_MC,3,FALSE)="",VLOOKUP($C$9,County_Lookup_MC,3,FALSE)=0),"",VLOOKUP($C$9,County_Lookup_MC,3,FALSE)))</f>
        <v/>
      </c>
      <c r="B18" s="66"/>
      <c r="C18" s="58"/>
      <c r="D18" s="67" t="str">
        <f t="shared" ref="D18:D42" si="6">IF($A18="","",IF(C18=0,0,B18/C18))</f>
        <v/>
      </c>
      <c r="E18" s="66"/>
      <c r="F18" s="58"/>
      <c r="G18" s="67" t="str">
        <f t="shared" ref="G18:G42" si="7">IF($A18="","",IF(F18=0,0,E18/F18))</f>
        <v/>
      </c>
      <c r="H18" s="66"/>
      <c r="I18" s="58"/>
      <c r="J18" s="67" t="str">
        <f t="shared" ref="J18:J42" si="8">IF($A18="","",IF(I18=0,0,H18/I18))</f>
        <v/>
      </c>
      <c r="K18" s="71" t="str">
        <f t="shared" ref="K18:K42" si="9">IF($A18="","",SUM(E18,H18))</f>
        <v/>
      </c>
      <c r="L18" s="59" t="str">
        <f t="shared" ref="L18:L42" si="10">IF($A18="","",SUM(F18,I18))</f>
        <v/>
      </c>
      <c r="M18" s="67" t="str">
        <f t="shared" ref="M18:M42" si="11">IF($A18="","",IF(L18=0,0,K18/L18))</f>
        <v/>
      </c>
      <c r="N18" s="71" t="str">
        <f t="shared" si="0"/>
        <v/>
      </c>
      <c r="O18" s="59" t="str">
        <f t="shared" si="1"/>
        <v/>
      </c>
      <c r="P18" s="67" t="str">
        <f t="shared" ref="P18:P42" si="12">IF($A18="","",IF(O18=0,0,N18/O18))</f>
        <v/>
      </c>
      <c r="Q18" s="66"/>
      <c r="R18" s="58"/>
      <c r="S18" s="67" t="str">
        <f t="shared" ref="S18:S42" si="13">IF($A18="","",IF(R18=0,0,Q18/R18))</f>
        <v/>
      </c>
      <c r="T18" s="66"/>
      <c r="U18" s="58"/>
      <c r="V18" s="67" t="str">
        <f t="shared" ref="V18:V42" si="14">IF($A18="","",IF(U18=0,0,T18/U18))</f>
        <v/>
      </c>
      <c r="W18" s="66"/>
      <c r="X18" s="58"/>
      <c r="Y18" s="67" t="str">
        <f t="shared" ref="Y18:Y42" si="15">IF($A18="","",IF(X18=0,0,W18/X18))</f>
        <v/>
      </c>
      <c r="Z18" s="71" t="str">
        <f t="shared" ref="Z18:Z42" si="16">IF($A18="","",SUM(T18,W18))</f>
        <v/>
      </c>
      <c r="AA18" s="59" t="str">
        <f t="shared" ref="AA18:AA42" si="17">IF($A18="","",SUM(U18,X18))</f>
        <v/>
      </c>
      <c r="AB18" s="67" t="str">
        <f t="shared" ref="AB18:AB42" si="18">IF($A18="","",IF(AA18=0,0,Z18/AA18))</f>
        <v/>
      </c>
      <c r="AC18" s="71" t="str">
        <f t="shared" si="2"/>
        <v/>
      </c>
      <c r="AD18" s="59" t="str">
        <f t="shared" si="3"/>
        <v/>
      </c>
      <c r="AE18" s="67" t="str">
        <f t="shared" ref="AE18:AE42" si="19">IF($A18="","",IF(AD18=0,0,AC18/AD18))</f>
        <v/>
      </c>
      <c r="AF18" s="66"/>
      <c r="AG18" s="58"/>
      <c r="AH18" s="67" t="str">
        <f t="shared" ref="AH18:AH42" si="20">IF($A18="","",IF(AG18=0,0,AF18/AG18))</f>
        <v/>
      </c>
      <c r="AI18" s="66"/>
      <c r="AJ18" s="58"/>
      <c r="AK18" s="67" t="str">
        <f t="shared" ref="AK18:AK42" si="21">IF($A18="","",IF(AJ18=0,0,AI18/AJ18))</f>
        <v/>
      </c>
      <c r="AL18" s="66"/>
      <c r="AM18" s="58"/>
      <c r="AN18" s="67" t="str">
        <f t="shared" ref="AN18:AN42" si="22">IF($A18="","",IF(AM18=0,0,AL18/AM18))</f>
        <v/>
      </c>
      <c r="AO18" s="71" t="str">
        <f t="shared" ref="AO18:AO42" si="23">IF($A18="","",SUM(AI18,AL18))</f>
        <v/>
      </c>
      <c r="AP18" s="59" t="str">
        <f t="shared" ref="AP18:AP42" si="24">IF($A18="","",SUM(AJ18,AM18))</f>
        <v/>
      </c>
      <c r="AQ18" s="67" t="str">
        <f t="shared" ref="AQ18:AQ42" si="25">IF($A18="","",IF(AP18=0,0,AO18/AP18))</f>
        <v/>
      </c>
      <c r="AR18" s="71" t="str">
        <f t="shared" si="4"/>
        <v/>
      </c>
      <c r="AS18" s="59" t="str">
        <f t="shared" si="5"/>
        <v/>
      </c>
      <c r="AT18" s="67" t="str">
        <f t="shared" ref="AT18:AT42" si="26">IF($A18="","",IF(AS18=0,0,AR18/AS18))</f>
        <v/>
      </c>
    </row>
    <row r="19" spans="1:46" ht="18" customHeight="1">
      <c r="A19" s="74" t="str">
        <f>IF($C$9="Data Not Entered On Set-Up Worksheet","",IF(OR(VLOOKUP($C$9,County_Lookup_MC,4,FALSE)="",VLOOKUP($C$9,County_Lookup_MC,4,FALSE)=0),"",VLOOKUP($C$9,County_Lookup_MC,4,FALSE)))</f>
        <v/>
      </c>
      <c r="B19" s="66"/>
      <c r="C19" s="58"/>
      <c r="D19" s="67" t="str">
        <f t="shared" si="6"/>
        <v/>
      </c>
      <c r="E19" s="66"/>
      <c r="F19" s="58"/>
      <c r="G19" s="67" t="str">
        <f t="shared" si="7"/>
        <v/>
      </c>
      <c r="H19" s="66"/>
      <c r="I19" s="58"/>
      <c r="J19" s="67" t="str">
        <f t="shared" si="8"/>
        <v/>
      </c>
      <c r="K19" s="71" t="str">
        <f t="shared" si="9"/>
        <v/>
      </c>
      <c r="L19" s="59" t="str">
        <f t="shared" si="10"/>
        <v/>
      </c>
      <c r="M19" s="67" t="str">
        <f t="shared" si="11"/>
        <v/>
      </c>
      <c r="N19" s="71" t="str">
        <f t="shared" si="0"/>
        <v/>
      </c>
      <c r="O19" s="59" t="str">
        <f t="shared" si="1"/>
        <v/>
      </c>
      <c r="P19" s="67" t="str">
        <f t="shared" si="12"/>
        <v/>
      </c>
      <c r="Q19" s="66"/>
      <c r="R19" s="58"/>
      <c r="S19" s="67" t="str">
        <f t="shared" si="13"/>
        <v/>
      </c>
      <c r="T19" s="66"/>
      <c r="U19" s="58"/>
      <c r="V19" s="67" t="str">
        <f t="shared" si="14"/>
        <v/>
      </c>
      <c r="W19" s="66"/>
      <c r="X19" s="58"/>
      <c r="Y19" s="67" t="str">
        <f t="shared" si="15"/>
        <v/>
      </c>
      <c r="Z19" s="71" t="str">
        <f t="shared" si="16"/>
        <v/>
      </c>
      <c r="AA19" s="59" t="str">
        <f t="shared" si="17"/>
        <v/>
      </c>
      <c r="AB19" s="67" t="str">
        <f t="shared" si="18"/>
        <v/>
      </c>
      <c r="AC19" s="71" t="str">
        <f t="shared" si="2"/>
        <v/>
      </c>
      <c r="AD19" s="59" t="str">
        <f t="shared" si="3"/>
        <v/>
      </c>
      <c r="AE19" s="67" t="str">
        <f t="shared" si="19"/>
        <v/>
      </c>
      <c r="AF19" s="66"/>
      <c r="AG19" s="58"/>
      <c r="AH19" s="67" t="str">
        <f t="shared" si="20"/>
        <v/>
      </c>
      <c r="AI19" s="66"/>
      <c r="AJ19" s="58"/>
      <c r="AK19" s="67" t="str">
        <f t="shared" si="21"/>
        <v/>
      </c>
      <c r="AL19" s="66"/>
      <c r="AM19" s="58"/>
      <c r="AN19" s="67" t="str">
        <f t="shared" si="22"/>
        <v/>
      </c>
      <c r="AO19" s="71" t="str">
        <f t="shared" si="23"/>
        <v/>
      </c>
      <c r="AP19" s="59" t="str">
        <f t="shared" si="24"/>
        <v/>
      </c>
      <c r="AQ19" s="67" t="str">
        <f t="shared" si="25"/>
        <v/>
      </c>
      <c r="AR19" s="71" t="str">
        <f t="shared" si="4"/>
        <v/>
      </c>
      <c r="AS19" s="59" t="str">
        <f t="shared" si="5"/>
        <v/>
      </c>
      <c r="AT19" s="67" t="str">
        <f t="shared" si="26"/>
        <v/>
      </c>
    </row>
    <row r="20" spans="1:46" ht="18" customHeight="1">
      <c r="A20" s="74" t="str">
        <f>IF($C$9="Data Not Entered On Set-Up Worksheet","",IF(OR(VLOOKUP($C$9,County_Lookup_MC,5,FALSE)="",VLOOKUP($C$9,County_Lookup_MC,5,FALSE)=0),"",VLOOKUP($C$9,County_Lookup_MC,5,FALSE)))</f>
        <v/>
      </c>
      <c r="B20" s="66"/>
      <c r="C20" s="58"/>
      <c r="D20" s="67" t="str">
        <f t="shared" si="6"/>
        <v/>
      </c>
      <c r="E20" s="66"/>
      <c r="F20" s="58"/>
      <c r="G20" s="67" t="str">
        <f t="shared" si="7"/>
        <v/>
      </c>
      <c r="H20" s="66"/>
      <c r="I20" s="58"/>
      <c r="J20" s="67" t="str">
        <f t="shared" si="8"/>
        <v/>
      </c>
      <c r="K20" s="71" t="str">
        <f t="shared" si="9"/>
        <v/>
      </c>
      <c r="L20" s="59" t="str">
        <f t="shared" si="10"/>
        <v/>
      </c>
      <c r="M20" s="67" t="str">
        <f t="shared" si="11"/>
        <v/>
      </c>
      <c r="N20" s="71" t="str">
        <f t="shared" si="0"/>
        <v/>
      </c>
      <c r="O20" s="59" t="str">
        <f t="shared" si="1"/>
        <v/>
      </c>
      <c r="P20" s="67" t="str">
        <f t="shared" si="12"/>
        <v/>
      </c>
      <c r="Q20" s="66"/>
      <c r="R20" s="58"/>
      <c r="S20" s="67" t="str">
        <f t="shared" si="13"/>
        <v/>
      </c>
      <c r="T20" s="66"/>
      <c r="U20" s="58"/>
      <c r="V20" s="67" t="str">
        <f t="shared" si="14"/>
        <v/>
      </c>
      <c r="W20" s="66"/>
      <c r="X20" s="58"/>
      <c r="Y20" s="67" t="str">
        <f t="shared" si="15"/>
        <v/>
      </c>
      <c r="Z20" s="71" t="str">
        <f t="shared" si="16"/>
        <v/>
      </c>
      <c r="AA20" s="59" t="str">
        <f t="shared" si="17"/>
        <v/>
      </c>
      <c r="AB20" s="67" t="str">
        <f t="shared" si="18"/>
        <v/>
      </c>
      <c r="AC20" s="71" t="str">
        <f t="shared" si="2"/>
        <v/>
      </c>
      <c r="AD20" s="59" t="str">
        <f t="shared" si="3"/>
        <v/>
      </c>
      <c r="AE20" s="67" t="str">
        <f t="shared" si="19"/>
        <v/>
      </c>
      <c r="AF20" s="66"/>
      <c r="AG20" s="58"/>
      <c r="AH20" s="67" t="str">
        <f t="shared" si="20"/>
        <v/>
      </c>
      <c r="AI20" s="66"/>
      <c r="AJ20" s="58"/>
      <c r="AK20" s="67" t="str">
        <f t="shared" si="21"/>
        <v/>
      </c>
      <c r="AL20" s="66"/>
      <c r="AM20" s="58"/>
      <c r="AN20" s="67" t="str">
        <f t="shared" si="22"/>
        <v/>
      </c>
      <c r="AO20" s="71" t="str">
        <f t="shared" si="23"/>
        <v/>
      </c>
      <c r="AP20" s="59" t="str">
        <f t="shared" si="24"/>
        <v/>
      </c>
      <c r="AQ20" s="67" t="str">
        <f t="shared" si="25"/>
        <v/>
      </c>
      <c r="AR20" s="71" t="str">
        <f t="shared" si="4"/>
        <v/>
      </c>
      <c r="AS20" s="59" t="str">
        <f t="shared" si="5"/>
        <v/>
      </c>
      <c r="AT20" s="67" t="str">
        <f t="shared" si="26"/>
        <v/>
      </c>
    </row>
    <row r="21" spans="1:46" ht="18" customHeight="1">
      <c r="A21" s="74" t="str">
        <f>IF($C$9="Data Not Entered On Set-Up Worksheet","",IF(OR(VLOOKUP($C$9,County_Lookup_MC,6,FALSE)="",VLOOKUP($C$9,County_Lookup_MC,6,FALSE)=0),"",VLOOKUP($C$9,County_Lookup_MC,6,FALSE)))</f>
        <v/>
      </c>
      <c r="B21" s="66"/>
      <c r="C21" s="58"/>
      <c r="D21" s="67" t="str">
        <f t="shared" si="6"/>
        <v/>
      </c>
      <c r="E21" s="66"/>
      <c r="F21" s="58"/>
      <c r="G21" s="67" t="str">
        <f t="shared" si="7"/>
        <v/>
      </c>
      <c r="H21" s="66"/>
      <c r="I21" s="58"/>
      <c r="J21" s="67" t="str">
        <f t="shared" si="8"/>
        <v/>
      </c>
      <c r="K21" s="71" t="str">
        <f t="shared" si="9"/>
        <v/>
      </c>
      <c r="L21" s="59" t="str">
        <f t="shared" si="10"/>
        <v/>
      </c>
      <c r="M21" s="67" t="str">
        <f t="shared" si="11"/>
        <v/>
      </c>
      <c r="N21" s="71" t="str">
        <f t="shared" si="0"/>
        <v/>
      </c>
      <c r="O21" s="59" t="str">
        <f t="shared" si="1"/>
        <v/>
      </c>
      <c r="P21" s="67" t="str">
        <f t="shared" si="12"/>
        <v/>
      </c>
      <c r="Q21" s="66"/>
      <c r="R21" s="58"/>
      <c r="S21" s="67" t="str">
        <f t="shared" si="13"/>
        <v/>
      </c>
      <c r="T21" s="66"/>
      <c r="U21" s="58"/>
      <c r="V21" s="67" t="str">
        <f t="shared" si="14"/>
        <v/>
      </c>
      <c r="W21" s="66"/>
      <c r="X21" s="58"/>
      <c r="Y21" s="67" t="str">
        <f t="shared" si="15"/>
        <v/>
      </c>
      <c r="Z21" s="71" t="str">
        <f t="shared" si="16"/>
        <v/>
      </c>
      <c r="AA21" s="59" t="str">
        <f t="shared" si="17"/>
        <v/>
      </c>
      <c r="AB21" s="67" t="str">
        <f t="shared" si="18"/>
        <v/>
      </c>
      <c r="AC21" s="71" t="str">
        <f t="shared" si="2"/>
        <v/>
      </c>
      <c r="AD21" s="59" t="str">
        <f t="shared" si="3"/>
        <v/>
      </c>
      <c r="AE21" s="67" t="str">
        <f t="shared" si="19"/>
        <v/>
      </c>
      <c r="AF21" s="66"/>
      <c r="AG21" s="58"/>
      <c r="AH21" s="67" t="str">
        <f t="shared" si="20"/>
        <v/>
      </c>
      <c r="AI21" s="66"/>
      <c r="AJ21" s="58"/>
      <c r="AK21" s="67" t="str">
        <f t="shared" si="21"/>
        <v/>
      </c>
      <c r="AL21" s="66"/>
      <c r="AM21" s="58"/>
      <c r="AN21" s="67" t="str">
        <f t="shared" si="22"/>
        <v/>
      </c>
      <c r="AO21" s="71" t="str">
        <f t="shared" si="23"/>
        <v/>
      </c>
      <c r="AP21" s="59" t="str">
        <f t="shared" si="24"/>
        <v/>
      </c>
      <c r="AQ21" s="67" t="str">
        <f t="shared" si="25"/>
        <v/>
      </c>
      <c r="AR21" s="71" t="str">
        <f t="shared" si="4"/>
        <v/>
      </c>
      <c r="AS21" s="59" t="str">
        <f t="shared" si="5"/>
        <v/>
      </c>
      <c r="AT21" s="67" t="str">
        <f t="shared" si="26"/>
        <v/>
      </c>
    </row>
    <row r="22" spans="1:46" ht="18" customHeight="1">
      <c r="A22" s="74" t="str">
        <f>IF($C$9="Data Not Entered On Set-Up Worksheet","",IF(OR(VLOOKUP($C$9,County_Lookup_MC,7,FALSE)="",VLOOKUP($C$9,County_Lookup_MC,7,FALSE)=0),"",VLOOKUP($C$9,County_Lookup_MC,7,FALSE)))</f>
        <v/>
      </c>
      <c r="B22" s="66"/>
      <c r="C22" s="58"/>
      <c r="D22" s="67" t="str">
        <f t="shared" si="6"/>
        <v/>
      </c>
      <c r="E22" s="66"/>
      <c r="F22" s="58"/>
      <c r="G22" s="67" t="str">
        <f t="shared" si="7"/>
        <v/>
      </c>
      <c r="H22" s="66"/>
      <c r="I22" s="58"/>
      <c r="J22" s="67" t="str">
        <f t="shared" si="8"/>
        <v/>
      </c>
      <c r="K22" s="71" t="str">
        <f t="shared" si="9"/>
        <v/>
      </c>
      <c r="L22" s="59" t="str">
        <f t="shared" si="10"/>
        <v/>
      </c>
      <c r="M22" s="67" t="str">
        <f t="shared" si="11"/>
        <v/>
      </c>
      <c r="N22" s="71" t="str">
        <f t="shared" si="0"/>
        <v/>
      </c>
      <c r="O22" s="59" t="str">
        <f t="shared" si="1"/>
        <v/>
      </c>
      <c r="P22" s="67" t="str">
        <f t="shared" si="12"/>
        <v/>
      </c>
      <c r="Q22" s="66"/>
      <c r="R22" s="58"/>
      <c r="S22" s="67" t="str">
        <f t="shared" si="13"/>
        <v/>
      </c>
      <c r="T22" s="66"/>
      <c r="U22" s="58"/>
      <c r="V22" s="67" t="str">
        <f t="shared" si="14"/>
        <v/>
      </c>
      <c r="W22" s="66"/>
      <c r="X22" s="58"/>
      <c r="Y22" s="67" t="str">
        <f t="shared" si="15"/>
        <v/>
      </c>
      <c r="Z22" s="71" t="str">
        <f t="shared" si="16"/>
        <v/>
      </c>
      <c r="AA22" s="59" t="str">
        <f t="shared" si="17"/>
        <v/>
      </c>
      <c r="AB22" s="67" t="str">
        <f t="shared" si="18"/>
        <v/>
      </c>
      <c r="AC22" s="71" t="str">
        <f t="shared" si="2"/>
        <v/>
      </c>
      <c r="AD22" s="59" t="str">
        <f t="shared" si="3"/>
        <v/>
      </c>
      <c r="AE22" s="67" t="str">
        <f t="shared" si="19"/>
        <v/>
      </c>
      <c r="AF22" s="66"/>
      <c r="AG22" s="58"/>
      <c r="AH22" s="67" t="str">
        <f t="shared" si="20"/>
        <v/>
      </c>
      <c r="AI22" s="66"/>
      <c r="AJ22" s="58"/>
      <c r="AK22" s="67" t="str">
        <f t="shared" si="21"/>
        <v/>
      </c>
      <c r="AL22" s="66"/>
      <c r="AM22" s="58"/>
      <c r="AN22" s="67" t="str">
        <f t="shared" si="22"/>
        <v/>
      </c>
      <c r="AO22" s="71" t="str">
        <f t="shared" si="23"/>
        <v/>
      </c>
      <c r="AP22" s="59" t="str">
        <f t="shared" si="24"/>
        <v/>
      </c>
      <c r="AQ22" s="67" t="str">
        <f t="shared" si="25"/>
        <v/>
      </c>
      <c r="AR22" s="71" t="str">
        <f t="shared" si="4"/>
        <v/>
      </c>
      <c r="AS22" s="59" t="str">
        <f t="shared" si="5"/>
        <v/>
      </c>
      <c r="AT22" s="67" t="str">
        <f t="shared" si="26"/>
        <v/>
      </c>
    </row>
    <row r="23" spans="1:46" ht="18" customHeight="1">
      <c r="A23" s="73" t="str">
        <f>IF($C$9="Data Not Entered On Set-Up Worksheet","",IF(OR(VLOOKUP($C$9,County_Lookup_MC,8,FALSE)="",VLOOKUP($C$9,County_Lookup_MC,8,FALSE)=0),"",VLOOKUP($C$9,County_Lookup_MC,8,FALSE)))</f>
        <v/>
      </c>
      <c r="B23" s="66"/>
      <c r="C23" s="58"/>
      <c r="D23" s="67" t="str">
        <f t="shared" si="6"/>
        <v/>
      </c>
      <c r="E23" s="66"/>
      <c r="F23" s="58"/>
      <c r="G23" s="67" t="str">
        <f t="shared" si="7"/>
        <v/>
      </c>
      <c r="H23" s="66"/>
      <c r="I23" s="58"/>
      <c r="J23" s="67" t="str">
        <f t="shared" si="8"/>
        <v/>
      </c>
      <c r="K23" s="71" t="str">
        <f t="shared" si="9"/>
        <v/>
      </c>
      <c r="L23" s="59" t="str">
        <f t="shared" si="10"/>
        <v/>
      </c>
      <c r="M23" s="67" t="str">
        <f t="shared" si="11"/>
        <v/>
      </c>
      <c r="N23" s="71" t="str">
        <f t="shared" si="0"/>
        <v/>
      </c>
      <c r="O23" s="59" t="str">
        <f t="shared" si="1"/>
        <v/>
      </c>
      <c r="P23" s="67" t="str">
        <f t="shared" si="12"/>
        <v/>
      </c>
      <c r="Q23" s="66"/>
      <c r="R23" s="58"/>
      <c r="S23" s="67" t="str">
        <f t="shared" si="13"/>
        <v/>
      </c>
      <c r="T23" s="66"/>
      <c r="U23" s="58"/>
      <c r="V23" s="67" t="str">
        <f t="shared" si="14"/>
        <v/>
      </c>
      <c r="W23" s="66"/>
      <c r="X23" s="58"/>
      <c r="Y23" s="67" t="str">
        <f t="shared" si="15"/>
        <v/>
      </c>
      <c r="Z23" s="71" t="str">
        <f t="shared" si="16"/>
        <v/>
      </c>
      <c r="AA23" s="59" t="str">
        <f t="shared" si="17"/>
        <v/>
      </c>
      <c r="AB23" s="67" t="str">
        <f t="shared" si="18"/>
        <v/>
      </c>
      <c r="AC23" s="71" t="str">
        <f t="shared" si="2"/>
        <v/>
      </c>
      <c r="AD23" s="59" t="str">
        <f t="shared" si="3"/>
        <v/>
      </c>
      <c r="AE23" s="67" t="str">
        <f t="shared" si="19"/>
        <v/>
      </c>
      <c r="AF23" s="66"/>
      <c r="AG23" s="58"/>
      <c r="AH23" s="67" t="str">
        <f t="shared" si="20"/>
        <v/>
      </c>
      <c r="AI23" s="66"/>
      <c r="AJ23" s="58"/>
      <c r="AK23" s="67" t="str">
        <f t="shared" si="21"/>
        <v/>
      </c>
      <c r="AL23" s="66"/>
      <c r="AM23" s="58"/>
      <c r="AN23" s="67" t="str">
        <f t="shared" si="22"/>
        <v/>
      </c>
      <c r="AO23" s="71" t="str">
        <f t="shared" si="23"/>
        <v/>
      </c>
      <c r="AP23" s="59" t="str">
        <f t="shared" si="24"/>
        <v/>
      </c>
      <c r="AQ23" s="67" t="str">
        <f t="shared" si="25"/>
        <v/>
      </c>
      <c r="AR23" s="71" t="str">
        <f t="shared" si="4"/>
        <v/>
      </c>
      <c r="AS23" s="59" t="str">
        <f t="shared" si="5"/>
        <v/>
      </c>
      <c r="AT23" s="67" t="str">
        <f t="shared" si="26"/>
        <v/>
      </c>
    </row>
    <row r="24" spans="1:46" ht="18" customHeight="1">
      <c r="A24" s="74" t="str">
        <f>IF($C$9="Data Not Entered On Set-Up Worksheet","",IF(OR(VLOOKUP($C$9,County_Lookup_MC,9,FALSE)="",VLOOKUP($C$9,County_Lookup_MC,9,FALSE)=0),"",VLOOKUP($C$9,County_Lookup_MC,9,FALSE)))</f>
        <v/>
      </c>
      <c r="B24" s="66"/>
      <c r="C24" s="58"/>
      <c r="D24" s="67" t="str">
        <f t="shared" si="6"/>
        <v/>
      </c>
      <c r="E24" s="66"/>
      <c r="F24" s="58"/>
      <c r="G24" s="67" t="str">
        <f t="shared" si="7"/>
        <v/>
      </c>
      <c r="H24" s="66"/>
      <c r="I24" s="58"/>
      <c r="J24" s="67" t="str">
        <f t="shared" si="8"/>
        <v/>
      </c>
      <c r="K24" s="71" t="str">
        <f t="shared" si="9"/>
        <v/>
      </c>
      <c r="L24" s="59" t="str">
        <f t="shared" si="10"/>
        <v/>
      </c>
      <c r="M24" s="67" t="str">
        <f t="shared" si="11"/>
        <v/>
      </c>
      <c r="N24" s="71" t="str">
        <f t="shared" si="0"/>
        <v/>
      </c>
      <c r="O24" s="59" t="str">
        <f t="shared" si="1"/>
        <v/>
      </c>
      <c r="P24" s="67" t="str">
        <f t="shared" si="12"/>
        <v/>
      </c>
      <c r="Q24" s="66"/>
      <c r="R24" s="58"/>
      <c r="S24" s="67" t="str">
        <f t="shared" si="13"/>
        <v/>
      </c>
      <c r="T24" s="66"/>
      <c r="U24" s="58"/>
      <c r="V24" s="67" t="str">
        <f t="shared" si="14"/>
        <v/>
      </c>
      <c r="W24" s="66"/>
      <c r="X24" s="58"/>
      <c r="Y24" s="67" t="str">
        <f t="shared" si="15"/>
        <v/>
      </c>
      <c r="Z24" s="71" t="str">
        <f t="shared" si="16"/>
        <v/>
      </c>
      <c r="AA24" s="59" t="str">
        <f t="shared" si="17"/>
        <v/>
      </c>
      <c r="AB24" s="67" t="str">
        <f t="shared" si="18"/>
        <v/>
      </c>
      <c r="AC24" s="71" t="str">
        <f t="shared" si="2"/>
        <v/>
      </c>
      <c r="AD24" s="59" t="str">
        <f t="shared" si="3"/>
        <v/>
      </c>
      <c r="AE24" s="67" t="str">
        <f t="shared" si="19"/>
        <v/>
      </c>
      <c r="AF24" s="66"/>
      <c r="AG24" s="58"/>
      <c r="AH24" s="67" t="str">
        <f t="shared" si="20"/>
        <v/>
      </c>
      <c r="AI24" s="66"/>
      <c r="AJ24" s="58"/>
      <c r="AK24" s="67" t="str">
        <f t="shared" si="21"/>
        <v/>
      </c>
      <c r="AL24" s="66"/>
      <c r="AM24" s="58"/>
      <c r="AN24" s="67" t="str">
        <f t="shared" si="22"/>
        <v/>
      </c>
      <c r="AO24" s="71" t="str">
        <f t="shared" si="23"/>
        <v/>
      </c>
      <c r="AP24" s="59" t="str">
        <f t="shared" si="24"/>
        <v/>
      </c>
      <c r="AQ24" s="67" t="str">
        <f t="shared" si="25"/>
        <v/>
      </c>
      <c r="AR24" s="71" t="str">
        <f t="shared" si="4"/>
        <v/>
      </c>
      <c r="AS24" s="59" t="str">
        <f t="shared" si="5"/>
        <v/>
      </c>
      <c r="AT24" s="67" t="str">
        <f t="shared" si="26"/>
        <v/>
      </c>
    </row>
    <row r="25" spans="1:46" ht="18" customHeight="1">
      <c r="A25" s="74" t="str">
        <f>IF($C$9="Data Not Entered On Set-Up Worksheet","",IF(OR(VLOOKUP($C$9,County_Lookup_MC,10,FALSE)="",VLOOKUP($C$9,County_Lookup_MC,10,FALSE)=0),"",VLOOKUP($C$9,County_Lookup_MC,10,FALSE)))</f>
        <v/>
      </c>
      <c r="B25" s="66"/>
      <c r="C25" s="58"/>
      <c r="D25" s="67" t="str">
        <f t="shared" si="6"/>
        <v/>
      </c>
      <c r="E25" s="66"/>
      <c r="F25" s="58"/>
      <c r="G25" s="67" t="str">
        <f t="shared" si="7"/>
        <v/>
      </c>
      <c r="H25" s="66"/>
      <c r="I25" s="58"/>
      <c r="J25" s="67" t="str">
        <f t="shared" si="8"/>
        <v/>
      </c>
      <c r="K25" s="71" t="str">
        <f t="shared" si="9"/>
        <v/>
      </c>
      <c r="L25" s="59" t="str">
        <f t="shared" si="10"/>
        <v/>
      </c>
      <c r="M25" s="67" t="str">
        <f t="shared" si="11"/>
        <v/>
      </c>
      <c r="N25" s="71" t="str">
        <f t="shared" si="0"/>
        <v/>
      </c>
      <c r="O25" s="59" t="str">
        <f t="shared" si="1"/>
        <v/>
      </c>
      <c r="P25" s="67" t="str">
        <f t="shared" si="12"/>
        <v/>
      </c>
      <c r="Q25" s="66"/>
      <c r="R25" s="58"/>
      <c r="S25" s="67" t="str">
        <f t="shared" si="13"/>
        <v/>
      </c>
      <c r="T25" s="66"/>
      <c r="U25" s="58"/>
      <c r="V25" s="67" t="str">
        <f t="shared" si="14"/>
        <v/>
      </c>
      <c r="W25" s="66"/>
      <c r="X25" s="58"/>
      <c r="Y25" s="67" t="str">
        <f t="shared" si="15"/>
        <v/>
      </c>
      <c r="Z25" s="71" t="str">
        <f t="shared" si="16"/>
        <v/>
      </c>
      <c r="AA25" s="59" t="str">
        <f t="shared" si="17"/>
        <v/>
      </c>
      <c r="AB25" s="67" t="str">
        <f t="shared" si="18"/>
        <v/>
      </c>
      <c r="AC25" s="71" t="str">
        <f t="shared" si="2"/>
        <v/>
      </c>
      <c r="AD25" s="59" t="str">
        <f t="shared" si="3"/>
        <v/>
      </c>
      <c r="AE25" s="67" t="str">
        <f t="shared" si="19"/>
        <v/>
      </c>
      <c r="AF25" s="66"/>
      <c r="AG25" s="58"/>
      <c r="AH25" s="67" t="str">
        <f t="shared" si="20"/>
        <v/>
      </c>
      <c r="AI25" s="66"/>
      <c r="AJ25" s="58"/>
      <c r="AK25" s="67" t="str">
        <f t="shared" si="21"/>
        <v/>
      </c>
      <c r="AL25" s="66"/>
      <c r="AM25" s="58"/>
      <c r="AN25" s="67" t="str">
        <f t="shared" si="22"/>
        <v/>
      </c>
      <c r="AO25" s="71" t="str">
        <f t="shared" si="23"/>
        <v/>
      </c>
      <c r="AP25" s="59" t="str">
        <f t="shared" si="24"/>
        <v/>
      </c>
      <c r="AQ25" s="67" t="str">
        <f t="shared" si="25"/>
        <v/>
      </c>
      <c r="AR25" s="71" t="str">
        <f t="shared" si="4"/>
        <v/>
      </c>
      <c r="AS25" s="59" t="str">
        <f t="shared" si="5"/>
        <v/>
      </c>
      <c r="AT25" s="67" t="str">
        <f t="shared" si="26"/>
        <v/>
      </c>
    </row>
    <row r="26" spans="1:46" ht="18" customHeight="1">
      <c r="A26" s="74" t="str">
        <f>IF($C$9="Data Not Entered On Set-Up Worksheet","",IF(OR(VLOOKUP($C$9,County_Lookup_MC,11,FALSE)="",VLOOKUP($C$9,County_Lookup_MC,11,FALSE)=0),"",VLOOKUP($C$9,County_Lookup_MC,11,FALSE)))</f>
        <v/>
      </c>
      <c r="B26" s="66"/>
      <c r="C26" s="58"/>
      <c r="D26" s="67" t="str">
        <f t="shared" si="6"/>
        <v/>
      </c>
      <c r="E26" s="66"/>
      <c r="F26" s="58"/>
      <c r="G26" s="67" t="str">
        <f t="shared" si="7"/>
        <v/>
      </c>
      <c r="H26" s="66"/>
      <c r="I26" s="58"/>
      <c r="J26" s="67" t="str">
        <f t="shared" si="8"/>
        <v/>
      </c>
      <c r="K26" s="71" t="str">
        <f t="shared" si="9"/>
        <v/>
      </c>
      <c r="L26" s="59" t="str">
        <f t="shared" si="10"/>
        <v/>
      </c>
      <c r="M26" s="67" t="str">
        <f t="shared" si="11"/>
        <v/>
      </c>
      <c r="N26" s="71" t="str">
        <f t="shared" si="0"/>
        <v/>
      </c>
      <c r="O26" s="59" t="str">
        <f t="shared" si="1"/>
        <v/>
      </c>
      <c r="P26" s="67" t="str">
        <f t="shared" si="12"/>
        <v/>
      </c>
      <c r="Q26" s="66"/>
      <c r="R26" s="58"/>
      <c r="S26" s="67" t="str">
        <f t="shared" si="13"/>
        <v/>
      </c>
      <c r="T26" s="66"/>
      <c r="U26" s="58"/>
      <c r="V26" s="67" t="str">
        <f t="shared" si="14"/>
        <v/>
      </c>
      <c r="W26" s="66"/>
      <c r="X26" s="58"/>
      <c r="Y26" s="67" t="str">
        <f t="shared" si="15"/>
        <v/>
      </c>
      <c r="Z26" s="71" t="str">
        <f t="shared" si="16"/>
        <v/>
      </c>
      <c r="AA26" s="59" t="str">
        <f t="shared" si="17"/>
        <v/>
      </c>
      <c r="AB26" s="67" t="str">
        <f t="shared" si="18"/>
        <v/>
      </c>
      <c r="AC26" s="71" t="str">
        <f t="shared" si="2"/>
        <v/>
      </c>
      <c r="AD26" s="59" t="str">
        <f t="shared" si="3"/>
        <v/>
      </c>
      <c r="AE26" s="67" t="str">
        <f t="shared" si="19"/>
        <v/>
      </c>
      <c r="AF26" s="66"/>
      <c r="AG26" s="58"/>
      <c r="AH26" s="67" t="str">
        <f t="shared" si="20"/>
        <v/>
      </c>
      <c r="AI26" s="66"/>
      <c r="AJ26" s="58"/>
      <c r="AK26" s="67" t="str">
        <f t="shared" si="21"/>
        <v/>
      </c>
      <c r="AL26" s="66"/>
      <c r="AM26" s="58"/>
      <c r="AN26" s="67" t="str">
        <f t="shared" si="22"/>
        <v/>
      </c>
      <c r="AO26" s="71" t="str">
        <f t="shared" si="23"/>
        <v/>
      </c>
      <c r="AP26" s="59" t="str">
        <f t="shared" si="24"/>
        <v/>
      </c>
      <c r="AQ26" s="67" t="str">
        <f t="shared" si="25"/>
        <v/>
      </c>
      <c r="AR26" s="71" t="str">
        <f t="shared" si="4"/>
        <v/>
      </c>
      <c r="AS26" s="59" t="str">
        <f t="shared" si="5"/>
        <v/>
      </c>
      <c r="AT26" s="67" t="str">
        <f t="shared" si="26"/>
        <v/>
      </c>
    </row>
    <row r="27" spans="1:46" ht="18" customHeight="1">
      <c r="A27" s="74" t="str">
        <f>IF($C$9="Data Not Entered On Set-Up Worksheet","",IF(OR(VLOOKUP($C$9,County_Lookup_MC,12,FALSE)="",VLOOKUP($C$9,County_Lookup_MC,12,FALSE)=0),"",VLOOKUP($C$9,County_Lookup_MC,12,FALSE)))</f>
        <v/>
      </c>
      <c r="B27" s="66"/>
      <c r="C27" s="58"/>
      <c r="D27" s="67" t="str">
        <f t="shared" si="6"/>
        <v/>
      </c>
      <c r="E27" s="66"/>
      <c r="F27" s="58"/>
      <c r="G27" s="67" t="str">
        <f t="shared" si="7"/>
        <v/>
      </c>
      <c r="H27" s="66"/>
      <c r="I27" s="58"/>
      <c r="J27" s="67" t="str">
        <f t="shared" si="8"/>
        <v/>
      </c>
      <c r="K27" s="71" t="str">
        <f t="shared" si="9"/>
        <v/>
      </c>
      <c r="L27" s="59" t="str">
        <f t="shared" si="10"/>
        <v/>
      </c>
      <c r="M27" s="67" t="str">
        <f t="shared" si="11"/>
        <v/>
      </c>
      <c r="N27" s="71" t="str">
        <f t="shared" si="0"/>
        <v/>
      </c>
      <c r="O27" s="59" t="str">
        <f t="shared" si="1"/>
        <v/>
      </c>
      <c r="P27" s="67" t="str">
        <f t="shared" si="12"/>
        <v/>
      </c>
      <c r="Q27" s="66"/>
      <c r="R27" s="58"/>
      <c r="S27" s="67" t="str">
        <f t="shared" si="13"/>
        <v/>
      </c>
      <c r="T27" s="66"/>
      <c r="U27" s="58"/>
      <c r="V27" s="67" t="str">
        <f t="shared" si="14"/>
        <v/>
      </c>
      <c r="W27" s="66"/>
      <c r="X27" s="58"/>
      <c r="Y27" s="67" t="str">
        <f t="shared" si="15"/>
        <v/>
      </c>
      <c r="Z27" s="71" t="str">
        <f t="shared" si="16"/>
        <v/>
      </c>
      <c r="AA27" s="59" t="str">
        <f t="shared" si="17"/>
        <v/>
      </c>
      <c r="AB27" s="67" t="str">
        <f t="shared" si="18"/>
        <v/>
      </c>
      <c r="AC27" s="71" t="str">
        <f t="shared" si="2"/>
        <v/>
      </c>
      <c r="AD27" s="59" t="str">
        <f t="shared" si="3"/>
        <v/>
      </c>
      <c r="AE27" s="67" t="str">
        <f t="shared" si="19"/>
        <v/>
      </c>
      <c r="AF27" s="66"/>
      <c r="AG27" s="58"/>
      <c r="AH27" s="67" t="str">
        <f t="shared" si="20"/>
        <v/>
      </c>
      <c r="AI27" s="66"/>
      <c r="AJ27" s="58"/>
      <c r="AK27" s="67" t="str">
        <f t="shared" si="21"/>
        <v/>
      </c>
      <c r="AL27" s="66"/>
      <c r="AM27" s="58"/>
      <c r="AN27" s="67" t="str">
        <f t="shared" si="22"/>
        <v/>
      </c>
      <c r="AO27" s="71" t="str">
        <f t="shared" si="23"/>
        <v/>
      </c>
      <c r="AP27" s="59" t="str">
        <f t="shared" si="24"/>
        <v/>
      </c>
      <c r="AQ27" s="67" t="str">
        <f t="shared" si="25"/>
        <v/>
      </c>
      <c r="AR27" s="71" t="str">
        <f t="shared" si="4"/>
        <v/>
      </c>
      <c r="AS27" s="59" t="str">
        <f t="shared" si="5"/>
        <v/>
      </c>
      <c r="AT27" s="67" t="str">
        <f t="shared" si="26"/>
        <v/>
      </c>
    </row>
    <row r="28" spans="1:46" ht="18" customHeight="1">
      <c r="A28" s="74" t="str">
        <f>IF($C$9="Data Not Entered On Set-Up Worksheet","",IF(OR(VLOOKUP($C$9,County_Lookup_MC,13,FALSE)="",VLOOKUP($C$9,County_Lookup_MC,13,FALSE)=0),"",VLOOKUP($C$9,County_Lookup_MC,13,FALSE)))</f>
        <v/>
      </c>
      <c r="B28" s="66"/>
      <c r="C28" s="58"/>
      <c r="D28" s="67" t="str">
        <f t="shared" si="6"/>
        <v/>
      </c>
      <c r="E28" s="66"/>
      <c r="F28" s="58"/>
      <c r="G28" s="67" t="str">
        <f t="shared" si="7"/>
        <v/>
      </c>
      <c r="H28" s="66"/>
      <c r="I28" s="58"/>
      <c r="J28" s="67" t="str">
        <f t="shared" si="8"/>
        <v/>
      </c>
      <c r="K28" s="71" t="str">
        <f t="shared" si="9"/>
        <v/>
      </c>
      <c r="L28" s="59" t="str">
        <f t="shared" si="10"/>
        <v/>
      </c>
      <c r="M28" s="67" t="str">
        <f t="shared" si="11"/>
        <v/>
      </c>
      <c r="N28" s="71" t="str">
        <f t="shared" si="0"/>
        <v/>
      </c>
      <c r="O28" s="59" t="str">
        <f t="shared" si="1"/>
        <v/>
      </c>
      <c r="P28" s="67" t="str">
        <f t="shared" si="12"/>
        <v/>
      </c>
      <c r="Q28" s="66"/>
      <c r="R28" s="58"/>
      <c r="S28" s="67" t="str">
        <f t="shared" si="13"/>
        <v/>
      </c>
      <c r="T28" s="66"/>
      <c r="U28" s="58"/>
      <c r="V28" s="67" t="str">
        <f t="shared" si="14"/>
        <v/>
      </c>
      <c r="W28" s="66"/>
      <c r="X28" s="58"/>
      <c r="Y28" s="67" t="str">
        <f t="shared" si="15"/>
        <v/>
      </c>
      <c r="Z28" s="71" t="str">
        <f t="shared" si="16"/>
        <v/>
      </c>
      <c r="AA28" s="59" t="str">
        <f t="shared" si="17"/>
        <v/>
      </c>
      <c r="AB28" s="67" t="str">
        <f t="shared" si="18"/>
        <v/>
      </c>
      <c r="AC28" s="71" t="str">
        <f t="shared" si="2"/>
        <v/>
      </c>
      <c r="AD28" s="59" t="str">
        <f t="shared" si="3"/>
        <v/>
      </c>
      <c r="AE28" s="67" t="str">
        <f t="shared" si="19"/>
        <v/>
      </c>
      <c r="AF28" s="66"/>
      <c r="AG28" s="58"/>
      <c r="AH28" s="67" t="str">
        <f t="shared" si="20"/>
        <v/>
      </c>
      <c r="AI28" s="66"/>
      <c r="AJ28" s="58"/>
      <c r="AK28" s="67" t="str">
        <f t="shared" si="21"/>
        <v/>
      </c>
      <c r="AL28" s="66"/>
      <c r="AM28" s="58"/>
      <c r="AN28" s="67" t="str">
        <f t="shared" si="22"/>
        <v/>
      </c>
      <c r="AO28" s="71" t="str">
        <f t="shared" si="23"/>
        <v/>
      </c>
      <c r="AP28" s="59" t="str">
        <f t="shared" si="24"/>
        <v/>
      </c>
      <c r="AQ28" s="67" t="str">
        <f t="shared" si="25"/>
        <v/>
      </c>
      <c r="AR28" s="71" t="str">
        <f t="shared" si="4"/>
        <v/>
      </c>
      <c r="AS28" s="59" t="str">
        <f t="shared" si="5"/>
        <v/>
      </c>
      <c r="AT28" s="67" t="str">
        <f t="shared" si="26"/>
        <v/>
      </c>
    </row>
    <row r="29" spans="1:46" ht="18" customHeight="1">
      <c r="A29" s="74" t="str">
        <f>IF($C$9="Data Not Entered On Set-Up Worksheet","",IF(OR(VLOOKUP($C$9,County_Lookup_MC,14,FALSE)="",VLOOKUP($C$9,County_Lookup_MC,14,FALSE)=0),"",VLOOKUP($C$9,County_Lookup_MC,14,FALSE)))</f>
        <v/>
      </c>
      <c r="B29" s="66"/>
      <c r="C29" s="58"/>
      <c r="D29" s="67" t="str">
        <f t="shared" si="6"/>
        <v/>
      </c>
      <c r="E29" s="66"/>
      <c r="F29" s="58"/>
      <c r="G29" s="67" t="str">
        <f t="shared" si="7"/>
        <v/>
      </c>
      <c r="H29" s="66"/>
      <c r="I29" s="58"/>
      <c r="J29" s="67" t="str">
        <f t="shared" si="8"/>
        <v/>
      </c>
      <c r="K29" s="71" t="str">
        <f t="shared" si="9"/>
        <v/>
      </c>
      <c r="L29" s="59" t="str">
        <f t="shared" si="10"/>
        <v/>
      </c>
      <c r="M29" s="67" t="str">
        <f t="shared" si="11"/>
        <v/>
      </c>
      <c r="N29" s="71" t="str">
        <f t="shared" si="0"/>
        <v/>
      </c>
      <c r="O29" s="59" t="str">
        <f t="shared" si="1"/>
        <v/>
      </c>
      <c r="P29" s="67" t="str">
        <f t="shared" si="12"/>
        <v/>
      </c>
      <c r="Q29" s="66"/>
      <c r="R29" s="58"/>
      <c r="S29" s="67" t="str">
        <f t="shared" si="13"/>
        <v/>
      </c>
      <c r="T29" s="66"/>
      <c r="U29" s="58"/>
      <c r="V29" s="67" t="str">
        <f t="shared" si="14"/>
        <v/>
      </c>
      <c r="W29" s="66"/>
      <c r="X29" s="58"/>
      <c r="Y29" s="67" t="str">
        <f t="shared" si="15"/>
        <v/>
      </c>
      <c r="Z29" s="71" t="str">
        <f t="shared" si="16"/>
        <v/>
      </c>
      <c r="AA29" s="59" t="str">
        <f t="shared" si="17"/>
        <v/>
      </c>
      <c r="AB29" s="67" t="str">
        <f t="shared" si="18"/>
        <v/>
      </c>
      <c r="AC29" s="71" t="str">
        <f t="shared" si="2"/>
        <v/>
      </c>
      <c r="AD29" s="59" t="str">
        <f t="shared" si="3"/>
        <v/>
      </c>
      <c r="AE29" s="67" t="str">
        <f t="shared" si="19"/>
        <v/>
      </c>
      <c r="AF29" s="66"/>
      <c r="AG29" s="58"/>
      <c r="AH29" s="67" t="str">
        <f t="shared" si="20"/>
        <v/>
      </c>
      <c r="AI29" s="66"/>
      <c r="AJ29" s="58"/>
      <c r="AK29" s="67" t="str">
        <f t="shared" si="21"/>
        <v/>
      </c>
      <c r="AL29" s="66"/>
      <c r="AM29" s="58"/>
      <c r="AN29" s="67" t="str">
        <f t="shared" si="22"/>
        <v/>
      </c>
      <c r="AO29" s="71" t="str">
        <f t="shared" si="23"/>
        <v/>
      </c>
      <c r="AP29" s="59" t="str">
        <f t="shared" si="24"/>
        <v/>
      </c>
      <c r="AQ29" s="67" t="str">
        <f t="shared" si="25"/>
        <v/>
      </c>
      <c r="AR29" s="71" t="str">
        <f t="shared" si="4"/>
        <v/>
      </c>
      <c r="AS29" s="59" t="str">
        <f t="shared" si="5"/>
        <v/>
      </c>
      <c r="AT29" s="67" t="str">
        <f t="shared" si="26"/>
        <v/>
      </c>
    </row>
    <row r="30" spans="1:46" ht="18" customHeight="1">
      <c r="A30" s="73" t="str">
        <f>IF($C$9="Data Not Entered On Set-Up Worksheet","",IF(OR(VLOOKUP($C$9,County_Lookup_MC,15,FALSE)="",VLOOKUP($C$9,County_Lookup_MC,15,FALSE)=0),"",VLOOKUP($C$9,County_Lookup_MC,15,FALSE)))</f>
        <v/>
      </c>
      <c r="B30" s="66"/>
      <c r="C30" s="58"/>
      <c r="D30" s="67" t="str">
        <f t="shared" si="6"/>
        <v/>
      </c>
      <c r="E30" s="66"/>
      <c r="F30" s="58"/>
      <c r="G30" s="67" t="str">
        <f t="shared" si="7"/>
        <v/>
      </c>
      <c r="H30" s="66"/>
      <c r="I30" s="58"/>
      <c r="J30" s="67" t="str">
        <f t="shared" si="8"/>
        <v/>
      </c>
      <c r="K30" s="71" t="str">
        <f t="shared" si="9"/>
        <v/>
      </c>
      <c r="L30" s="59" t="str">
        <f t="shared" si="10"/>
        <v/>
      </c>
      <c r="M30" s="67" t="str">
        <f t="shared" si="11"/>
        <v/>
      </c>
      <c r="N30" s="71" t="str">
        <f t="shared" si="0"/>
        <v/>
      </c>
      <c r="O30" s="59" t="str">
        <f t="shared" si="1"/>
        <v/>
      </c>
      <c r="P30" s="67" t="str">
        <f t="shared" si="12"/>
        <v/>
      </c>
      <c r="Q30" s="66"/>
      <c r="R30" s="58"/>
      <c r="S30" s="67" t="str">
        <f t="shared" si="13"/>
        <v/>
      </c>
      <c r="T30" s="66"/>
      <c r="U30" s="58"/>
      <c r="V30" s="67" t="str">
        <f t="shared" si="14"/>
        <v/>
      </c>
      <c r="W30" s="66"/>
      <c r="X30" s="58"/>
      <c r="Y30" s="67" t="str">
        <f t="shared" si="15"/>
        <v/>
      </c>
      <c r="Z30" s="71" t="str">
        <f t="shared" si="16"/>
        <v/>
      </c>
      <c r="AA30" s="59" t="str">
        <f t="shared" si="17"/>
        <v/>
      </c>
      <c r="AB30" s="67" t="str">
        <f t="shared" si="18"/>
        <v/>
      </c>
      <c r="AC30" s="71" t="str">
        <f t="shared" si="2"/>
        <v/>
      </c>
      <c r="AD30" s="59" t="str">
        <f t="shared" si="3"/>
        <v/>
      </c>
      <c r="AE30" s="67" t="str">
        <f t="shared" si="19"/>
        <v/>
      </c>
      <c r="AF30" s="66"/>
      <c r="AG30" s="58"/>
      <c r="AH30" s="67" t="str">
        <f t="shared" si="20"/>
        <v/>
      </c>
      <c r="AI30" s="66"/>
      <c r="AJ30" s="58"/>
      <c r="AK30" s="67" t="str">
        <f t="shared" si="21"/>
        <v/>
      </c>
      <c r="AL30" s="66"/>
      <c r="AM30" s="58"/>
      <c r="AN30" s="67" t="str">
        <f t="shared" si="22"/>
        <v/>
      </c>
      <c r="AO30" s="71" t="str">
        <f t="shared" si="23"/>
        <v/>
      </c>
      <c r="AP30" s="59" t="str">
        <f t="shared" si="24"/>
        <v/>
      </c>
      <c r="AQ30" s="67" t="str">
        <f t="shared" si="25"/>
        <v/>
      </c>
      <c r="AR30" s="71" t="str">
        <f t="shared" si="4"/>
        <v/>
      </c>
      <c r="AS30" s="59" t="str">
        <f t="shared" si="5"/>
        <v/>
      </c>
      <c r="AT30" s="67" t="str">
        <f t="shared" si="26"/>
        <v/>
      </c>
    </row>
    <row r="31" spans="1:46" ht="18" customHeight="1">
      <c r="A31" s="74" t="str">
        <f>IF($C$9="Data Not Entered On Set-Up Worksheet","",IF(OR(VLOOKUP($C$9,County_Lookup_MC,16,FALSE)="",VLOOKUP($C$9,County_Lookup_MC,16,FALSE)=0),"",VLOOKUP($C$9,County_Lookup_MC,16,FALSE)))</f>
        <v/>
      </c>
      <c r="B31" s="66"/>
      <c r="C31" s="58"/>
      <c r="D31" s="67" t="str">
        <f t="shared" si="6"/>
        <v/>
      </c>
      <c r="E31" s="66"/>
      <c r="F31" s="58"/>
      <c r="G31" s="67" t="str">
        <f t="shared" si="7"/>
        <v/>
      </c>
      <c r="H31" s="66"/>
      <c r="I31" s="58"/>
      <c r="J31" s="67" t="str">
        <f t="shared" si="8"/>
        <v/>
      </c>
      <c r="K31" s="71" t="str">
        <f t="shared" si="9"/>
        <v/>
      </c>
      <c r="L31" s="59" t="str">
        <f t="shared" si="10"/>
        <v/>
      </c>
      <c r="M31" s="67" t="str">
        <f t="shared" si="11"/>
        <v/>
      </c>
      <c r="N31" s="71" t="str">
        <f t="shared" si="0"/>
        <v/>
      </c>
      <c r="O31" s="59" t="str">
        <f t="shared" si="1"/>
        <v/>
      </c>
      <c r="P31" s="67" t="str">
        <f t="shared" si="12"/>
        <v/>
      </c>
      <c r="Q31" s="66"/>
      <c r="R31" s="58"/>
      <c r="S31" s="67" t="str">
        <f t="shared" si="13"/>
        <v/>
      </c>
      <c r="T31" s="66"/>
      <c r="U31" s="58"/>
      <c r="V31" s="67" t="str">
        <f t="shared" si="14"/>
        <v/>
      </c>
      <c r="W31" s="66"/>
      <c r="X31" s="58"/>
      <c r="Y31" s="67" t="str">
        <f t="shared" si="15"/>
        <v/>
      </c>
      <c r="Z31" s="71" t="str">
        <f t="shared" si="16"/>
        <v/>
      </c>
      <c r="AA31" s="59" t="str">
        <f t="shared" si="17"/>
        <v/>
      </c>
      <c r="AB31" s="67" t="str">
        <f t="shared" si="18"/>
        <v/>
      </c>
      <c r="AC31" s="71" t="str">
        <f t="shared" si="2"/>
        <v/>
      </c>
      <c r="AD31" s="59" t="str">
        <f t="shared" si="3"/>
        <v/>
      </c>
      <c r="AE31" s="67" t="str">
        <f t="shared" si="19"/>
        <v/>
      </c>
      <c r="AF31" s="66"/>
      <c r="AG31" s="58"/>
      <c r="AH31" s="67" t="str">
        <f t="shared" si="20"/>
        <v/>
      </c>
      <c r="AI31" s="66"/>
      <c r="AJ31" s="58"/>
      <c r="AK31" s="67" t="str">
        <f t="shared" si="21"/>
        <v/>
      </c>
      <c r="AL31" s="66"/>
      <c r="AM31" s="58"/>
      <c r="AN31" s="67" t="str">
        <f t="shared" si="22"/>
        <v/>
      </c>
      <c r="AO31" s="71" t="str">
        <f t="shared" si="23"/>
        <v/>
      </c>
      <c r="AP31" s="59" t="str">
        <f t="shared" si="24"/>
        <v/>
      </c>
      <c r="AQ31" s="67" t="str">
        <f t="shared" si="25"/>
        <v/>
      </c>
      <c r="AR31" s="71" t="str">
        <f t="shared" si="4"/>
        <v/>
      </c>
      <c r="AS31" s="59" t="str">
        <f t="shared" si="5"/>
        <v/>
      </c>
      <c r="AT31" s="67" t="str">
        <f t="shared" si="26"/>
        <v/>
      </c>
    </row>
    <row r="32" spans="1:46" ht="18" customHeight="1">
      <c r="A32" s="74" t="str">
        <f>IF($C$9="Data Not Entered On Set-Up Worksheet","",IF(OR(VLOOKUP($C$9,County_Lookup_MC,17,FALSE)="",VLOOKUP($C$9,County_Lookup_MC,17,FALSE)=0),"",VLOOKUP($C$9,County_Lookup_MC,17,FALSE)))</f>
        <v/>
      </c>
      <c r="B32" s="66"/>
      <c r="C32" s="58"/>
      <c r="D32" s="67" t="str">
        <f t="shared" si="6"/>
        <v/>
      </c>
      <c r="E32" s="66"/>
      <c r="F32" s="58"/>
      <c r="G32" s="67" t="str">
        <f t="shared" si="7"/>
        <v/>
      </c>
      <c r="H32" s="66"/>
      <c r="I32" s="58"/>
      <c r="J32" s="67" t="str">
        <f t="shared" si="8"/>
        <v/>
      </c>
      <c r="K32" s="71" t="str">
        <f t="shared" si="9"/>
        <v/>
      </c>
      <c r="L32" s="59" t="str">
        <f t="shared" si="10"/>
        <v/>
      </c>
      <c r="M32" s="67" t="str">
        <f t="shared" si="11"/>
        <v/>
      </c>
      <c r="N32" s="71" t="str">
        <f t="shared" si="0"/>
        <v/>
      </c>
      <c r="O32" s="59" t="str">
        <f t="shared" si="1"/>
        <v/>
      </c>
      <c r="P32" s="67" t="str">
        <f t="shared" si="12"/>
        <v/>
      </c>
      <c r="Q32" s="66"/>
      <c r="R32" s="58"/>
      <c r="S32" s="67" t="str">
        <f t="shared" si="13"/>
        <v/>
      </c>
      <c r="T32" s="66"/>
      <c r="U32" s="58"/>
      <c r="V32" s="67" t="str">
        <f t="shared" si="14"/>
        <v/>
      </c>
      <c r="W32" s="66"/>
      <c r="X32" s="58"/>
      <c r="Y32" s="67" t="str">
        <f t="shared" si="15"/>
        <v/>
      </c>
      <c r="Z32" s="71" t="str">
        <f t="shared" si="16"/>
        <v/>
      </c>
      <c r="AA32" s="59" t="str">
        <f t="shared" si="17"/>
        <v/>
      </c>
      <c r="AB32" s="67" t="str">
        <f t="shared" si="18"/>
        <v/>
      </c>
      <c r="AC32" s="71" t="str">
        <f t="shared" si="2"/>
        <v/>
      </c>
      <c r="AD32" s="59" t="str">
        <f t="shared" si="3"/>
        <v/>
      </c>
      <c r="AE32" s="67" t="str">
        <f t="shared" si="19"/>
        <v/>
      </c>
      <c r="AF32" s="66"/>
      <c r="AG32" s="58"/>
      <c r="AH32" s="67" t="str">
        <f t="shared" si="20"/>
        <v/>
      </c>
      <c r="AI32" s="66"/>
      <c r="AJ32" s="58"/>
      <c r="AK32" s="67" t="str">
        <f t="shared" si="21"/>
        <v/>
      </c>
      <c r="AL32" s="66"/>
      <c r="AM32" s="58"/>
      <c r="AN32" s="67" t="str">
        <f t="shared" si="22"/>
        <v/>
      </c>
      <c r="AO32" s="71" t="str">
        <f t="shared" si="23"/>
        <v/>
      </c>
      <c r="AP32" s="59" t="str">
        <f t="shared" si="24"/>
        <v/>
      </c>
      <c r="AQ32" s="67" t="str">
        <f t="shared" si="25"/>
        <v/>
      </c>
      <c r="AR32" s="71" t="str">
        <f t="shared" si="4"/>
        <v/>
      </c>
      <c r="AS32" s="59" t="str">
        <f t="shared" si="5"/>
        <v/>
      </c>
      <c r="AT32" s="67" t="str">
        <f t="shared" si="26"/>
        <v/>
      </c>
    </row>
    <row r="33" spans="1:46" ht="18" customHeight="1">
      <c r="A33" s="74" t="str">
        <f>IF($C$9="Data Not Entered On Set-Up Worksheet","",IF(OR(VLOOKUP($C$9,County_Lookup_MC,18,FALSE)="",VLOOKUP($C$9,County_Lookup_MC,18,FALSE)=0),"",VLOOKUP($C$9,County_Lookup_MC,18,FALSE)))</f>
        <v/>
      </c>
      <c r="B33" s="66"/>
      <c r="C33" s="58"/>
      <c r="D33" s="67" t="str">
        <f t="shared" si="6"/>
        <v/>
      </c>
      <c r="E33" s="66"/>
      <c r="F33" s="58"/>
      <c r="G33" s="67" t="str">
        <f t="shared" si="7"/>
        <v/>
      </c>
      <c r="H33" s="66"/>
      <c r="I33" s="58"/>
      <c r="J33" s="67" t="str">
        <f t="shared" si="8"/>
        <v/>
      </c>
      <c r="K33" s="71" t="str">
        <f t="shared" si="9"/>
        <v/>
      </c>
      <c r="L33" s="59" t="str">
        <f t="shared" si="10"/>
        <v/>
      </c>
      <c r="M33" s="67" t="str">
        <f t="shared" si="11"/>
        <v/>
      </c>
      <c r="N33" s="71" t="str">
        <f t="shared" si="0"/>
        <v/>
      </c>
      <c r="O33" s="59" t="str">
        <f t="shared" si="1"/>
        <v/>
      </c>
      <c r="P33" s="67" t="str">
        <f t="shared" si="12"/>
        <v/>
      </c>
      <c r="Q33" s="66"/>
      <c r="R33" s="58"/>
      <c r="S33" s="67" t="str">
        <f t="shared" si="13"/>
        <v/>
      </c>
      <c r="T33" s="66"/>
      <c r="U33" s="58"/>
      <c r="V33" s="67" t="str">
        <f t="shared" si="14"/>
        <v/>
      </c>
      <c r="W33" s="66"/>
      <c r="X33" s="58"/>
      <c r="Y33" s="67" t="str">
        <f t="shared" si="15"/>
        <v/>
      </c>
      <c r="Z33" s="71" t="str">
        <f t="shared" si="16"/>
        <v/>
      </c>
      <c r="AA33" s="59" t="str">
        <f t="shared" si="17"/>
        <v/>
      </c>
      <c r="AB33" s="67" t="str">
        <f t="shared" si="18"/>
        <v/>
      </c>
      <c r="AC33" s="71" t="str">
        <f t="shared" si="2"/>
        <v/>
      </c>
      <c r="AD33" s="59" t="str">
        <f t="shared" si="3"/>
        <v/>
      </c>
      <c r="AE33" s="67" t="str">
        <f t="shared" si="19"/>
        <v/>
      </c>
      <c r="AF33" s="66"/>
      <c r="AG33" s="58"/>
      <c r="AH33" s="67" t="str">
        <f t="shared" si="20"/>
        <v/>
      </c>
      <c r="AI33" s="66"/>
      <c r="AJ33" s="58"/>
      <c r="AK33" s="67" t="str">
        <f t="shared" si="21"/>
        <v/>
      </c>
      <c r="AL33" s="66"/>
      <c r="AM33" s="58"/>
      <c r="AN33" s="67" t="str">
        <f t="shared" si="22"/>
        <v/>
      </c>
      <c r="AO33" s="71" t="str">
        <f t="shared" si="23"/>
        <v/>
      </c>
      <c r="AP33" s="59" t="str">
        <f t="shared" si="24"/>
        <v/>
      </c>
      <c r="AQ33" s="67" t="str">
        <f t="shared" si="25"/>
        <v/>
      </c>
      <c r="AR33" s="71" t="str">
        <f t="shared" si="4"/>
        <v/>
      </c>
      <c r="AS33" s="59" t="str">
        <f t="shared" si="5"/>
        <v/>
      </c>
      <c r="AT33" s="67" t="str">
        <f t="shared" si="26"/>
        <v/>
      </c>
    </row>
    <row r="34" spans="1:46" ht="18" customHeight="1">
      <c r="A34" s="74" t="str">
        <f>IF($C$9="Data Not Entered On Set-Up Worksheet","",IF(OR(VLOOKUP($C$9,County_Lookup_MC,19,FALSE)="",VLOOKUP($C$9,County_Lookup_MC,19,FALSE)=0),"",VLOOKUP($C$9,County_Lookup_MC,19,FALSE)))</f>
        <v/>
      </c>
      <c r="B34" s="66"/>
      <c r="C34" s="58"/>
      <c r="D34" s="67" t="str">
        <f t="shared" si="6"/>
        <v/>
      </c>
      <c r="E34" s="66"/>
      <c r="F34" s="58"/>
      <c r="G34" s="67" t="str">
        <f t="shared" si="7"/>
        <v/>
      </c>
      <c r="H34" s="66"/>
      <c r="I34" s="58"/>
      <c r="J34" s="67" t="str">
        <f t="shared" si="8"/>
        <v/>
      </c>
      <c r="K34" s="71" t="str">
        <f t="shared" si="9"/>
        <v/>
      </c>
      <c r="L34" s="59" t="str">
        <f t="shared" si="10"/>
        <v/>
      </c>
      <c r="M34" s="67" t="str">
        <f t="shared" si="11"/>
        <v/>
      </c>
      <c r="N34" s="71" t="str">
        <f t="shared" si="0"/>
        <v/>
      </c>
      <c r="O34" s="59" t="str">
        <f t="shared" si="1"/>
        <v/>
      </c>
      <c r="P34" s="67" t="str">
        <f t="shared" si="12"/>
        <v/>
      </c>
      <c r="Q34" s="66"/>
      <c r="R34" s="58"/>
      <c r="S34" s="67" t="str">
        <f t="shared" si="13"/>
        <v/>
      </c>
      <c r="T34" s="66"/>
      <c r="U34" s="58"/>
      <c r="V34" s="67" t="str">
        <f t="shared" si="14"/>
        <v/>
      </c>
      <c r="W34" s="66"/>
      <c r="X34" s="58"/>
      <c r="Y34" s="67" t="str">
        <f t="shared" si="15"/>
        <v/>
      </c>
      <c r="Z34" s="71" t="str">
        <f t="shared" si="16"/>
        <v/>
      </c>
      <c r="AA34" s="59" t="str">
        <f t="shared" si="17"/>
        <v/>
      </c>
      <c r="AB34" s="67" t="str">
        <f t="shared" si="18"/>
        <v/>
      </c>
      <c r="AC34" s="71" t="str">
        <f t="shared" si="2"/>
        <v/>
      </c>
      <c r="AD34" s="59" t="str">
        <f t="shared" si="3"/>
        <v/>
      </c>
      <c r="AE34" s="67" t="str">
        <f t="shared" si="19"/>
        <v/>
      </c>
      <c r="AF34" s="66"/>
      <c r="AG34" s="58"/>
      <c r="AH34" s="67" t="str">
        <f t="shared" si="20"/>
        <v/>
      </c>
      <c r="AI34" s="66"/>
      <c r="AJ34" s="58"/>
      <c r="AK34" s="67" t="str">
        <f t="shared" si="21"/>
        <v/>
      </c>
      <c r="AL34" s="66"/>
      <c r="AM34" s="58"/>
      <c r="AN34" s="67" t="str">
        <f t="shared" si="22"/>
        <v/>
      </c>
      <c r="AO34" s="71" t="str">
        <f t="shared" si="23"/>
        <v/>
      </c>
      <c r="AP34" s="59" t="str">
        <f t="shared" si="24"/>
        <v/>
      </c>
      <c r="AQ34" s="67" t="str">
        <f t="shared" si="25"/>
        <v/>
      </c>
      <c r="AR34" s="71" t="str">
        <f t="shared" si="4"/>
        <v/>
      </c>
      <c r="AS34" s="59" t="str">
        <f t="shared" si="5"/>
        <v/>
      </c>
      <c r="AT34" s="67" t="str">
        <f t="shared" si="26"/>
        <v/>
      </c>
    </row>
    <row r="35" spans="1:46" ht="18" customHeight="1">
      <c r="A35" s="74" t="str">
        <f>IF($C$9="Data Not Entered On Set-Up Worksheet","",IF(OR(VLOOKUP($C$9,County_Lookup_MC,20,FALSE)="",VLOOKUP($C$9,County_Lookup_MC,20,FALSE)=0),"",VLOOKUP($C$9,County_Lookup_MC,20,FALSE)))</f>
        <v/>
      </c>
      <c r="B35" s="66"/>
      <c r="C35" s="58"/>
      <c r="D35" s="67" t="str">
        <f t="shared" si="6"/>
        <v/>
      </c>
      <c r="E35" s="66"/>
      <c r="F35" s="58"/>
      <c r="G35" s="67" t="str">
        <f t="shared" si="7"/>
        <v/>
      </c>
      <c r="H35" s="66"/>
      <c r="I35" s="58"/>
      <c r="J35" s="67" t="str">
        <f t="shared" si="8"/>
        <v/>
      </c>
      <c r="K35" s="71" t="str">
        <f t="shared" si="9"/>
        <v/>
      </c>
      <c r="L35" s="59" t="str">
        <f t="shared" si="10"/>
        <v/>
      </c>
      <c r="M35" s="67" t="str">
        <f t="shared" si="11"/>
        <v/>
      </c>
      <c r="N35" s="71" t="str">
        <f t="shared" si="0"/>
        <v/>
      </c>
      <c r="O35" s="59" t="str">
        <f t="shared" si="1"/>
        <v/>
      </c>
      <c r="P35" s="67" t="str">
        <f t="shared" si="12"/>
        <v/>
      </c>
      <c r="Q35" s="66"/>
      <c r="R35" s="58"/>
      <c r="S35" s="67" t="str">
        <f t="shared" si="13"/>
        <v/>
      </c>
      <c r="T35" s="66"/>
      <c r="U35" s="58"/>
      <c r="V35" s="67" t="str">
        <f t="shared" si="14"/>
        <v/>
      </c>
      <c r="W35" s="66"/>
      <c r="X35" s="58"/>
      <c r="Y35" s="67" t="str">
        <f t="shared" si="15"/>
        <v/>
      </c>
      <c r="Z35" s="71" t="str">
        <f t="shared" si="16"/>
        <v/>
      </c>
      <c r="AA35" s="59" t="str">
        <f t="shared" si="17"/>
        <v/>
      </c>
      <c r="AB35" s="67" t="str">
        <f t="shared" si="18"/>
        <v/>
      </c>
      <c r="AC35" s="71" t="str">
        <f t="shared" si="2"/>
        <v/>
      </c>
      <c r="AD35" s="59" t="str">
        <f t="shared" si="3"/>
        <v/>
      </c>
      <c r="AE35" s="67" t="str">
        <f t="shared" si="19"/>
        <v/>
      </c>
      <c r="AF35" s="66"/>
      <c r="AG35" s="58"/>
      <c r="AH35" s="67" t="str">
        <f t="shared" si="20"/>
        <v/>
      </c>
      <c r="AI35" s="66"/>
      <c r="AJ35" s="58"/>
      <c r="AK35" s="67" t="str">
        <f t="shared" si="21"/>
        <v/>
      </c>
      <c r="AL35" s="66"/>
      <c r="AM35" s="58"/>
      <c r="AN35" s="67" t="str">
        <f t="shared" si="22"/>
        <v/>
      </c>
      <c r="AO35" s="71" t="str">
        <f t="shared" si="23"/>
        <v/>
      </c>
      <c r="AP35" s="59" t="str">
        <f t="shared" si="24"/>
        <v/>
      </c>
      <c r="AQ35" s="67" t="str">
        <f t="shared" si="25"/>
        <v/>
      </c>
      <c r="AR35" s="71" t="str">
        <f t="shared" si="4"/>
        <v/>
      </c>
      <c r="AS35" s="59" t="str">
        <f t="shared" si="5"/>
        <v/>
      </c>
      <c r="AT35" s="67" t="str">
        <f t="shared" si="26"/>
        <v/>
      </c>
    </row>
    <row r="36" spans="1:46" ht="18" customHeight="1">
      <c r="A36" s="74" t="str">
        <f>IF($C$9="Data Not Entered On Set-Up Worksheet","",IF(OR(VLOOKUP($C$9,County_Lookup_MC,21,FALSE)="",VLOOKUP($C$9,County_Lookup_MC,21,FALSE)=0),"",VLOOKUP($C$9,County_Lookup_MC,21,FALSE)))</f>
        <v/>
      </c>
      <c r="B36" s="66"/>
      <c r="C36" s="58"/>
      <c r="D36" s="67" t="str">
        <f t="shared" si="6"/>
        <v/>
      </c>
      <c r="E36" s="66"/>
      <c r="F36" s="58"/>
      <c r="G36" s="67" t="str">
        <f t="shared" si="7"/>
        <v/>
      </c>
      <c r="H36" s="66"/>
      <c r="I36" s="58"/>
      <c r="J36" s="67" t="str">
        <f t="shared" si="8"/>
        <v/>
      </c>
      <c r="K36" s="71" t="str">
        <f t="shared" si="9"/>
        <v/>
      </c>
      <c r="L36" s="59" t="str">
        <f t="shared" si="10"/>
        <v/>
      </c>
      <c r="M36" s="67" t="str">
        <f t="shared" si="11"/>
        <v/>
      </c>
      <c r="N36" s="71" t="str">
        <f t="shared" si="0"/>
        <v/>
      </c>
      <c r="O36" s="59" t="str">
        <f t="shared" si="1"/>
        <v/>
      </c>
      <c r="P36" s="67" t="str">
        <f t="shared" si="12"/>
        <v/>
      </c>
      <c r="Q36" s="66"/>
      <c r="R36" s="58"/>
      <c r="S36" s="67" t="str">
        <f t="shared" si="13"/>
        <v/>
      </c>
      <c r="T36" s="66"/>
      <c r="U36" s="58"/>
      <c r="V36" s="67" t="str">
        <f t="shared" si="14"/>
        <v/>
      </c>
      <c r="W36" s="66"/>
      <c r="X36" s="58"/>
      <c r="Y36" s="67" t="str">
        <f t="shared" si="15"/>
        <v/>
      </c>
      <c r="Z36" s="71" t="str">
        <f t="shared" si="16"/>
        <v/>
      </c>
      <c r="AA36" s="59" t="str">
        <f t="shared" si="17"/>
        <v/>
      </c>
      <c r="AB36" s="67" t="str">
        <f t="shared" si="18"/>
        <v/>
      </c>
      <c r="AC36" s="71" t="str">
        <f t="shared" si="2"/>
        <v/>
      </c>
      <c r="AD36" s="59" t="str">
        <f t="shared" si="3"/>
        <v/>
      </c>
      <c r="AE36" s="67" t="str">
        <f t="shared" si="19"/>
        <v/>
      </c>
      <c r="AF36" s="66"/>
      <c r="AG36" s="58"/>
      <c r="AH36" s="67" t="str">
        <f t="shared" si="20"/>
        <v/>
      </c>
      <c r="AI36" s="66"/>
      <c r="AJ36" s="58"/>
      <c r="AK36" s="67" t="str">
        <f t="shared" si="21"/>
        <v/>
      </c>
      <c r="AL36" s="66"/>
      <c r="AM36" s="58"/>
      <c r="AN36" s="67" t="str">
        <f t="shared" si="22"/>
        <v/>
      </c>
      <c r="AO36" s="71" t="str">
        <f t="shared" si="23"/>
        <v/>
      </c>
      <c r="AP36" s="59" t="str">
        <f t="shared" si="24"/>
        <v/>
      </c>
      <c r="AQ36" s="67" t="str">
        <f t="shared" si="25"/>
        <v/>
      </c>
      <c r="AR36" s="71" t="str">
        <f t="shared" si="4"/>
        <v/>
      </c>
      <c r="AS36" s="59" t="str">
        <f t="shared" si="5"/>
        <v/>
      </c>
      <c r="AT36" s="67" t="str">
        <f t="shared" si="26"/>
        <v/>
      </c>
    </row>
    <row r="37" spans="1:46" ht="18" customHeight="1">
      <c r="A37" s="73" t="str">
        <f>IF($C$9="Data Not Entered On Set-Up Worksheet","",IF(OR(VLOOKUP($C$9,County_Lookup_MC,22,FALSE)="",VLOOKUP($C$9,County_Lookup_MC,22,FALSE)=0),"",VLOOKUP($C$9,County_Lookup_MC,22,FALSE)))</f>
        <v/>
      </c>
      <c r="B37" s="66"/>
      <c r="C37" s="58"/>
      <c r="D37" s="67" t="str">
        <f t="shared" si="6"/>
        <v/>
      </c>
      <c r="E37" s="66"/>
      <c r="F37" s="58"/>
      <c r="G37" s="67" t="str">
        <f t="shared" si="7"/>
        <v/>
      </c>
      <c r="H37" s="66"/>
      <c r="I37" s="58"/>
      <c r="J37" s="67" t="str">
        <f t="shared" si="8"/>
        <v/>
      </c>
      <c r="K37" s="71" t="str">
        <f t="shared" si="9"/>
        <v/>
      </c>
      <c r="L37" s="59" t="str">
        <f t="shared" si="10"/>
        <v/>
      </c>
      <c r="M37" s="67" t="str">
        <f t="shared" si="11"/>
        <v/>
      </c>
      <c r="N37" s="71" t="str">
        <f t="shared" si="0"/>
        <v/>
      </c>
      <c r="O37" s="59" t="str">
        <f t="shared" si="1"/>
        <v/>
      </c>
      <c r="P37" s="67" t="str">
        <f t="shared" si="12"/>
        <v/>
      </c>
      <c r="Q37" s="66"/>
      <c r="R37" s="58"/>
      <c r="S37" s="67" t="str">
        <f t="shared" si="13"/>
        <v/>
      </c>
      <c r="T37" s="66"/>
      <c r="U37" s="58"/>
      <c r="V37" s="67" t="str">
        <f t="shared" si="14"/>
        <v/>
      </c>
      <c r="W37" s="66"/>
      <c r="X37" s="58"/>
      <c r="Y37" s="67" t="str">
        <f t="shared" si="15"/>
        <v/>
      </c>
      <c r="Z37" s="71" t="str">
        <f t="shared" si="16"/>
        <v/>
      </c>
      <c r="AA37" s="59" t="str">
        <f t="shared" si="17"/>
        <v/>
      </c>
      <c r="AB37" s="67" t="str">
        <f t="shared" si="18"/>
        <v/>
      </c>
      <c r="AC37" s="71" t="str">
        <f t="shared" si="2"/>
        <v/>
      </c>
      <c r="AD37" s="59" t="str">
        <f t="shared" si="3"/>
        <v/>
      </c>
      <c r="AE37" s="67" t="str">
        <f t="shared" si="19"/>
        <v/>
      </c>
      <c r="AF37" s="66"/>
      <c r="AG37" s="58"/>
      <c r="AH37" s="67" t="str">
        <f t="shared" si="20"/>
        <v/>
      </c>
      <c r="AI37" s="66"/>
      <c r="AJ37" s="58"/>
      <c r="AK37" s="67" t="str">
        <f t="shared" si="21"/>
        <v/>
      </c>
      <c r="AL37" s="66"/>
      <c r="AM37" s="58"/>
      <c r="AN37" s="67" t="str">
        <f t="shared" si="22"/>
        <v/>
      </c>
      <c r="AO37" s="71" t="str">
        <f t="shared" si="23"/>
        <v/>
      </c>
      <c r="AP37" s="59" t="str">
        <f t="shared" si="24"/>
        <v/>
      </c>
      <c r="AQ37" s="67" t="str">
        <f t="shared" si="25"/>
        <v/>
      </c>
      <c r="AR37" s="71" t="str">
        <f t="shared" si="4"/>
        <v/>
      </c>
      <c r="AS37" s="59" t="str">
        <f t="shared" si="5"/>
        <v/>
      </c>
      <c r="AT37" s="67" t="str">
        <f t="shared" si="26"/>
        <v/>
      </c>
    </row>
    <row r="38" spans="1:46" ht="18" customHeight="1">
      <c r="A38" s="74" t="str">
        <f>IF($C$9="Data Not Entered On Set-Up Worksheet","",IF(OR(VLOOKUP($C$9,County_Lookup_MC,23,FALSE)="",VLOOKUP($C$9,County_Lookup_MC,23,FALSE)=0),"",VLOOKUP($C$9,County_Lookup_MC,23,FALSE)))</f>
        <v/>
      </c>
      <c r="B38" s="66"/>
      <c r="C38" s="58"/>
      <c r="D38" s="67" t="str">
        <f t="shared" si="6"/>
        <v/>
      </c>
      <c r="E38" s="66"/>
      <c r="F38" s="58"/>
      <c r="G38" s="67" t="str">
        <f t="shared" si="7"/>
        <v/>
      </c>
      <c r="H38" s="66"/>
      <c r="I38" s="58"/>
      <c r="J38" s="67" t="str">
        <f t="shared" si="8"/>
        <v/>
      </c>
      <c r="K38" s="71" t="str">
        <f t="shared" si="9"/>
        <v/>
      </c>
      <c r="L38" s="59" t="str">
        <f t="shared" si="10"/>
        <v/>
      </c>
      <c r="M38" s="67" t="str">
        <f t="shared" si="11"/>
        <v/>
      </c>
      <c r="N38" s="71" t="str">
        <f t="shared" si="0"/>
        <v/>
      </c>
      <c r="O38" s="59" t="str">
        <f t="shared" si="1"/>
        <v/>
      </c>
      <c r="P38" s="67" t="str">
        <f t="shared" si="12"/>
        <v/>
      </c>
      <c r="Q38" s="66"/>
      <c r="R38" s="58"/>
      <c r="S38" s="67" t="str">
        <f t="shared" si="13"/>
        <v/>
      </c>
      <c r="T38" s="66"/>
      <c r="U38" s="58"/>
      <c r="V38" s="67" t="str">
        <f t="shared" si="14"/>
        <v/>
      </c>
      <c r="W38" s="66"/>
      <c r="X38" s="58"/>
      <c r="Y38" s="67" t="str">
        <f t="shared" si="15"/>
        <v/>
      </c>
      <c r="Z38" s="71" t="str">
        <f t="shared" si="16"/>
        <v/>
      </c>
      <c r="AA38" s="59" t="str">
        <f t="shared" si="17"/>
        <v/>
      </c>
      <c r="AB38" s="67" t="str">
        <f t="shared" si="18"/>
        <v/>
      </c>
      <c r="AC38" s="71" t="str">
        <f t="shared" si="2"/>
        <v/>
      </c>
      <c r="AD38" s="59" t="str">
        <f t="shared" si="3"/>
        <v/>
      </c>
      <c r="AE38" s="67" t="str">
        <f t="shared" si="19"/>
        <v/>
      </c>
      <c r="AF38" s="66"/>
      <c r="AG38" s="58"/>
      <c r="AH38" s="67" t="str">
        <f t="shared" si="20"/>
        <v/>
      </c>
      <c r="AI38" s="66"/>
      <c r="AJ38" s="58"/>
      <c r="AK38" s="67" t="str">
        <f t="shared" si="21"/>
        <v/>
      </c>
      <c r="AL38" s="66"/>
      <c r="AM38" s="58"/>
      <c r="AN38" s="67" t="str">
        <f t="shared" si="22"/>
        <v/>
      </c>
      <c r="AO38" s="71" t="str">
        <f t="shared" si="23"/>
        <v/>
      </c>
      <c r="AP38" s="59" t="str">
        <f t="shared" si="24"/>
        <v/>
      </c>
      <c r="AQ38" s="67" t="str">
        <f t="shared" si="25"/>
        <v/>
      </c>
      <c r="AR38" s="71" t="str">
        <f t="shared" si="4"/>
        <v/>
      </c>
      <c r="AS38" s="59" t="str">
        <f t="shared" si="5"/>
        <v/>
      </c>
      <c r="AT38" s="67" t="str">
        <f t="shared" si="26"/>
        <v/>
      </c>
    </row>
    <row r="39" spans="1:46" ht="18" customHeight="1">
      <c r="A39" s="74" t="str">
        <f>IF($C$9="Data Not Entered On Set-Up Worksheet","",IF(OR(VLOOKUP($C$9,County_Lookup_MC,24,FALSE)="",VLOOKUP($C$9,County_Lookup_MC,24,FALSE)=0),"",VLOOKUP($C$9,County_Lookup_MC,24,FALSE)))</f>
        <v/>
      </c>
      <c r="B39" s="66"/>
      <c r="C39" s="58"/>
      <c r="D39" s="67" t="str">
        <f t="shared" ref="D39:D41" si="27">IF($A39="","",IF(C39=0,0,B39/C39))</f>
        <v/>
      </c>
      <c r="E39" s="66"/>
      <c r="F39" s="58"/>
      <c r="G39" s="67" t="str">
        <f t="shared" ref="G39:G41" si="28">IF($A39="","",IF(F39=0,0,E39/F39))</f>
        <v/>
      </c>
      <c r="H39" s="66"/>
      <c r="I39" s="58"/>
      <c r="J39" s="67" t="str">
        <f t="shared" ref="J39:J41" si="29">IF($A39="","",IF(I39=0,0,H39/I39))</f>
        <v/>
      </c>
      <c r="K39" s="71" t="str">
        <f t="shared" ref="K39:K41" si="30">IF($A39="","",SUM(E39,H39))</f>
        <v/>
      </c>
      <c r="L39" s="59" t="str">
        <f t="shared" ref="L39:L41" si="31">IF($A39="","",SUM(F39,I39))</f>
        <v/>
      </c>
      <c r="M39" s="67" t="str">
        <f t="shared" ref="M39:M41" si="32">IF($A39="","",IF(L39=0,0,K39/L39))</f>
        <v/>
      </c>
      <c r="N39" s="71" t="str">
        <f t="shared" ref="N39:N41" si="33">IF($A39="","",SUM(B39,E39,H39))</f>
        <v/>
      </c>
      <c r="O39" s="59" t="str">
        <f t="shared" ref="O39:O41" si="34">IF($A39="","",SUM(C39,F39,I39))</f>
        <v/>
      </c>
      <c r="P39" s="67" t="str">
        <f t="shared" ref="P39:P41" si="35">IF($A39="","",IF(O39=0,0,N39/O39))</f>
        <v/>
      </c>
      <c r="Q39" s="66"/>
      <c r="R39" s="58"/>
      <c r="S39" s="67" t="str">
        <f t="shared" si="13"/>
        <v/>
      </c>
      <c r="T39" s="66"/>
      <c r="U39" s="58"/>
      <c r="V39" s="67" t="str">
        <f t="shared" si="14"/>
        <v/>
      </c>
      <c r="W39" s="66"/>
      <c r="X39" s="58"/>
      <c r="Y39" s="67" t="str">
        <f t="shared" si="15"/>
        <v/>
      </c>
      <c r="Z39" s="71" t="str">
        <f t="shared" si="16"/>
        <v/>
      </c>
      <c r="AA39" s="59" t="str">
        <f t="shared" si="17"/>
        <v/>
      </c>
      <c r="AB39" s="67" t="str">
        <f t="shared" si="18"/>
        <v/>
      </c>
      <c r="AC39" s="71" t="str">
        <f t="shared" si="2"/>
        <v/>
      </c>
      <c r="AD39" s="59" t="str">
        <f t="shared" si="3"/>
        <v/>
      </c>
      <c r="AE39" s="67" t="str">
        <f t="shared" si="19"/>
        <v/>
      </c>
      <c r="AF39" s="66"/>
      <c r="AG39" s="58"/>
      <c r="AH39" s="67" t="str">
        <f t="shared" si="20"/>
        <v/>
      </c>
      <c r="AI39" s="66"/>
      <c r="AJ39" s="58"/>
      <c r="AK39" s="67" t="str">
        <f t="shared" si="21"/>
        <v/>
      </c>
      <c r="AL39" s="66"/>
      <c r="AM39" s="58"/>
      <c r="AN39" s="67" t="str">
        <f t="shared" si="22"/>
        <v/>
      </c>
      <c r="AO39" s="71" t="str">
        <f t="shared" si="23"/>
        <v/>
      </c>
      <c r="AP39" s="59" t="str">
        <f t="shared" si="24"/>
        <v/>
      </c>
      <c r="AQ39" s="67" t="str">
        <f t="shared" si="25"/>
        <v/>
      </c>
      <c r="AR39" s="71" t="str">
        <f t="shared" si="4"/>
        <v/>
      </c>
      <c r="AS39" s="59" t="str">
        <f t="shared" si="5"/>
        <v/>
      </c>
      <c r="AT39" s="67" t="str">
        <f t="shared" si="26"/>
        <v/>
      </c>
    </row>
    <row r="40" spans="1:46" ht="18" customHeight="1">
      <c r="A40" s="74" t="str">
        <f>IF($C$9="Data Not Entered On Set-Up Worksheet","",IF(OR(VLOOKUP($C$9,County_Lookup_MC,25,FALSE)="",VLOOKUP($C$9,County_Lookup_MC,25,FALSE)=0),"",VLOOKUP($C$9,County_Lookup_MC,25,FALSE)))</f>
        <v/>
      </c>
      <c r="B40" s="66"/>
      <c r="C40" s="58"/>
      <c r="D40" s="67" t="str">
        <f t="shared" si="27"/>
        <v/>
      </c>
      <c r="E40" s="66"/>
      <c r="F40" s="58"/>
      <c r="G40" s="67" t="str">
        <f t="shared" si="28"/>
        <v/>
      </c>
      <c r="H40" s="66"/>
      <c r="I40" s="58"/>
      <c r="J40" s="67" t="str">
        <f t="shared" si="29"/>
        <v/>
      </c>
      <c r="K40" s="71" t="str">
        <f t="shared" si="30"/>
        <v/>
      </c>
      <c r="L40" s="59" t="str">
        <f t="shared" si="31"/>
        <v/>
      </c>
      <c r="M40" s="67" t="str">
        <f t="shared" si="32"/>
        <v/>
      </c>
      <c r="N40" s="71" t="str">
        <f t="shared" si="33"/>
        <v/>
      </c>
      <c r="O40" s="59" t="str">
        <f t="shared" si="34"/>
        <v/>
      </c>
      <c r="P40" s="67" t="str">
        <f t="shared" si="35"/>
        <v/>
      </c>
      <c r="Q40" s="66"/>
      <c r="R40" s="58"/>
      <c r="S40" s="67" t="str">
        <f t="shared" ref="S40:S41" si="36">IF($A40="","",IF(R40=0,0,Q40/R40))</f>
        <v/>
      </c>
      <c r="T40" s="66"/>
      <c r="U40" s="58"/>
      <c r="V40" s="67" t="str">
        <f t="shared" ref="V40:V41" si="37">IF($A40="","",IF(U40=0,0,T40/U40))</f>
        <v/>
      </c>
      <c r="W40" s="66"/>
      <c r="X40" s="58"/>
      <c r="Y40" s="67" t="str">
        <f t="shared" ref="Y40:Y41" si="38">IF($A40="","",IF(X40=0,0,W40/X40))</f>
        <v/>
      </c>
      <c r="Z40" s="71" t="str">
        <f t="shared" ref="Z40:Z41" si="39">IF($A40="","",SUM(T40,W40))</f>
        <v/>
      </c>
      <c r="AA40" s="59" t="str">
        <f t="shared" ref="AA40:AA41" si="40">IF($A40="","",SUM(U40,X40))</f>
        <v/>
      </c>
      <c r="AB40" s="67" t="str">
        <f t="shared" ref="AB40:AB41" si="41">IF($A40="","",IF(AA40=0,0,Z40/AA40))</f>
        <v/>
      </c>
      <c r="AC40" s="71" t="str">
        <f t="shared" ref="AC40:AC41" si="42">IF($A40="","",SUM(Q40,T40,W40))</f>
        <v/>
      </c>
      <c r="AD40" s="59" t="str">
        <f t="shared" ref="AD40:AD41" si="43">IF($A40="","",SUM(R40,U40,X40))</f>
        <v/>
      </c>
      <c r="AE40" s="67" t="str">
        <f t="shared" ref="AE40:AE41" si="44">IF($A40="","",IF(AD40=0,0,AC40/AD40))</f>
        <v/>
      </c>
      <c r="AF40" s="66"/>
      <c r="AG40" s="58"/>
      <c r="AH40" s="67" t="str">
        <f t="shared" ref="AH40:AH41" si="45">IF($A40="","",IF(AG40=0,0,AF40/AG40))</f>
        <v/>
      </c>
      <c r="AI40" s="66"/>
      <c r="AJ40" s="58"/>
      <c r="AK40" s="67" t="str">
        <f t="shared" ref="AK40:AK41" si="46">IF($A40="","",IF(AJ40=0,0,AI40/AJ40))</f>
        <v/>
      </c>
      <c r="AL40" s="66"/>
      <c r="AM40" s="58"/>
      <c r="AN40" s="67" t="str">
        <f t="shared" ref="AN40:AN41" si="47">IF($A40="","",IF(AM40=0,0,AL40/AM40))</f>
        <v/>
      </c>
      <c r="AO40" s="71" t="str">
        <f t="shared" ref="AO40:AO41" si="48">IF($A40="","",SUM(AI40,AL40))</f>
        <v/>
      </c>
      <c r="AP40" s="59" t="str">
        <f t="shared" ref="AP40:AP41" si="49">IF($A40="","",SUM(AJ40,AM40))</f>
        <v/>
      </c>
      <c r="AQ40" s="67" t="str">
        <f t="shared" ref="AQ40:AQ41" si="50">IF($A40="","",IF(AP40=0,0,AO40/AP40))</f>
        <v/>
      </c>
      <c r="AR40" s="71" t="str">
        <f t="shared" ref="AR40:AR41" si="51">IF($A40="","",SUM(AF40,AI40,AL40))</f>
        <v/>
      </c>
      <c r="AS40" s="59" t="str">
        <f t="shared" ref="AS40:AS41" si="52">IF($A40="","",SUM(AG40,AJ40,AM40))</f>
        <v/>
      </c>
      <c r="AT40" s="67" t="str">
        <f t="shared" ref="AT40:AT41" si="53">IF($A40="","",IF(AS40=0,0,AR40/AS40))</f>
        <v/>
      </c>
    </row>
    <row r="41" spans="1:46" ht="18" customHeight="1">
      <c r="A41" s="74" t="str">
        <f>IF($C$9="Data Not Entered On Set-Up Worksheet","",IF(OR(VLOOKUP($C$9,County_Lookup_MC,26,FALSE)="",VLOOKUP($C$9,County_Lookup_MC,26,FALSE)=0),"",VLOOKUP($C$9,County_Lookup_MC,26,FALSE)))</f>
        <v/>
      </c>
      <c r="B41" s="66"/>
      <c r="C41" s="58"/>
      <c r="D41" s="67" t="str">
        <f t="shared" si="27"/>
        <v/>
      </c>
      <c r="E41" s="66"/>
      <c r="F41" s="58"/>
      <c r="G41" s="67" t="str">
        <f t="shared" si="28"/>
        <v/>
      </c>
      <c r="H41" s="66"/>
      <c r="I41" s="58"/>
      <c r="J41" s="67" t="str">
        <f t="shared" si="29"/>
        <v/>
      </c>
      <c r="K41" s="71" t="str">
        <f t="shared" si="30"/>
        <v/>
      </c>
      <c r="L41" s="59" t="str">
        <f t="shared" si="31"/>
        <v/>
      </c>
      <c r="M41" s="67" t="str">
        <f t="shared" si="32"/>
        <v/>
      </c>
      <c r="N41" s="71" t="str">
        <f t="shared" si="33"/>
        <v/>
      </c>
      <c r="O41" s="59" t="str">
        <f t="shared" si="34"/>
        <v/>
      </c>
      <c r="P41" s="67" t="str">
        <f t="shared" si="35"/>
        <v/>
      </c>
      <c r="Q41" s="66"/>
      <c r="R41" s="58"/>
      <c r="S41" s="67" t="str">
        <f t="shared" si="36"/>
        <v/>
      </c>
      <c r="T41" s="66"/>
      <c r="U41" s="58"/>
      <c r="V41" s="67" t="str">
        <f t="shared" si="37"/>
        <v/>
      </c>
      <c r="W41" s="66"/>
      <c r="X41" s="58"/>
      <c r="Y41" s="67" t="str">
        <f t="shared" si="38"/>
        <v/>
      </c>
      <c r="Z41" s="71" t="str">
        <f t="shared" si="39"/>
        <v/>
      </c>
      <c r="AA41" s="59" t="str">
        <f t="shared" si="40"/>
        <v/>
      </c>
      <c r="AB41" s="67" t="str">
        <f t="shared" si="41"/>
        <v/>
      </c>
      <c r="AC41" s="71" t="str">
        <f t="shared" si="42"/>
        <v/>
      </c>
      <c r="AD41" s="59" t="str">
        <f t="shared" si="43"/>
        <v/>
      </c>
      <c r="AE41" s="67" t="str">
        <f t="shared" si="44"/>
        <v/>
      </c>
      <c r="AF41" s="66"/>
      <c r="AG41" s="58"/>
      <c r="AH41" s="67" t="str">
        <f t="shared" si="45"/>
        <v/>
      </c>
      <c r="AI41" s="66"/>
      <c r="AJ41" s="58"/>
      <c r="AK41" s="67" t="str">
        <f t="shared" si="46"/>
        <v/>
      </c>
      <c r="AL41" s="66"/>
      <c r="AM41" s="58"/>
      <c r="AN41" s="67" t="str">
        <f t="shared" si="47"/>
        <v/>
      </c>
      <c r="AO41" s="71" t="str">
        <f t="shared" si="48"/>
        <v/>
      </c>
      <c r="AP41" s="59" t="str">
        <f t="shared" si="49"/>
        <v/>
      </c>
      <c r="AQ41" s="67" t="str">
        <f t="shared" si="50"/>
        <v/>
      </c>
      <c r="AR41" s="71" t="str">
        <f t="shared" si="51"/>
        <v/>
      </c>
      <c r="AS41" s="59" t="str">
        <f t="shared" si="52"/>
        <v/>
      </c>
      <c r="AT41" s="67" t="str">
        <f t="shared" si="53"/>
        <v/>
      </c>
    </row>
    <row r="42" spans="1:46" ht="18" customHeight="1">
      <c r="A42" s="74" t="str">
        <f>IF($C$9="Data Not Entered On Set-Up Worksheet","",IF(OR(VLOOKUP($C$9,County_Lookup_MC,27,FALSE)="",VLOOKUP($C$9,County_Lookup_MC,27,FALSE)=0),"",VLOOKUP($C$9,County_Lookup_MC,27,FALSE)))</f>
        <v/>
      </c>
      <c r="B42" s="66"/>
      <c r="C42" s="58"/>
      <c r="D42" s="67" t="str">
        <f t="shared" si="6"/>
        <v/>
      </c>
      <c r="E42" s="66"/>
      <c r="F42" s="58"/>
      <c r="G42" s="67" t="str">
        <f t="shared" si="7"/>
        <v/>
      </c>
      <c r="H42" s="66"/>
      <c r="I42" s="58"/>
      <c r="J42" s="67" t="str">
        <f t="shared" si="8"/>
        <v/>
      </c>
      <c r="K42" s="71" t="str">
        <f t="shared" si="9"/>
        <v/>
      </c>
      <c r="L42" s="59" t="str">
        <f t="shared" si="10"/>
        <v/>
      </c>
      <c r="M42" s="67" t="str">
        <f t="shared" si="11"/>
        <v/>
      </c>
      <c r="N42" s="71" t="str">
        <f t="shared" si="0"/>
        <v/>
      </c>
      <c r="O42" s="59" t="str">
        <f t="shared" si="1"/>
        <v/>
      </c>
      <c r="P42" s="67" t="str">
        <f t="shared" si="12"/>
        <v/>
      </c>
      <c r="Q42" s="66"/>
      <c r="R42" s="58"/>
      <c r="S42" s="67" t="str">
        <f t="shared" si="13"/>
        <v/>
      </c>
      <c r="T42" s="66"/>
      <c r="U42" s="58"/>
      <c r="V42" s="67" t="str">
        <f t="shared" si="14"/>
        <v/>
      </c>
      <c r="W42" s="66"/>
      <c r="X42" s="58"/>
      <c r="Y42" s="67" t="str">
        <f t="shared" si="15"/>
        <v/>
      </c>
      <c r="Z42" s="71" t="str">
        <f t="shared" si="16"/>
        <v/>
      </c>
      <c r="AA42" s="59" t="str">
        <f t="shared" si="17"/>
        <v/>
      </c>
      <c r="AB42" s="67" t="str">
        <f t="shared" si="18"/>
        <v/>
      </c>
      <c r="AC42" s="71" t="str">
        <f t="shared" si="2"/>
        <v/>
      </c>
      <c r="AD42" s="59" t="str">
        <f t="shared" si="3"/>
        <v/>
      </c>
      <c r="AE42" s="67" t="str">
        <f t="shared" si="19"/>
        <v/>
      </c>
      <c r="AF42" s="66"/>
      <c r="AG42" s="58"/>
      <c r="AH42" s="67" t="str">
        <f t="shared" si="20"/>
        <v/>
      </c>
      <c r="AI42" s="66"/>
      <c r="AJ42" s="58"/>
      <c r="AK42" s="67" t="str">
        <f t="shared" si="21"/>
        <v/>
      </c>
      <c r="AL42" s="66"/>
      <c r="AM42" s="58"/>
      <c r="AN42" s="67" t="str">
        <f t="shared" si="22"/>
        <v/>
      </c>
      <c r="AO42" s="71" t="str">
        <f t="shared" si="23"/>
        <v/>
      </c>
      <c r="AP42" s="59" t="str">
        <f t="shared" si="24"/>
        <v/>
      </c>
      <c r="AQ42" s="67" t="str">
        <f t="shared" si="25"/>
        <v/>
      </c>
      <c r="AR42" s="71" t="str">
        <f t="shared" si="4"/>
        <v/>
      </c>
      <c r="AS42" s="59" t="str">
        <f t="shared" si="5"/>
        <v/>
      </c>
      <c r="AT42" s="67" t="str">
        <f t="shared" si="26"/>
        <v/>
      </c>
    </row>
    <row r="43" spans="1:46" ht="18" customHeight="1" thickBot="1">
      <c r="A43" s="75" t="s">
        <v>0</v>
      </c>
      <c r="B43" s="68">
        <f>SUM(B17:B42)</f>
        <v>0</v>
      </c>
      <c r="C43" s="69">
        <f>SUM(C17:C42)</f>
        <v>0</v>
      </c>
      <c r="D43" s="70">
        <f t="shared" ref="D43" si="54">IF(C43=0,0,B43/C43)</f>
        <v>0</v>
      </c>
      <c r="E43" s="68">
        <f>SUM(E17:E42)</f>
        <v>0</v>
      </c>
      <c r="F43" s="69">
        <f>SUM(F17:F42)</f>
        <v>0</v>
      </c>
      <c r="G43" s="70">
        <f t="shared" ref="G43" si="55">IF(F43=0,0,E43/F43)</f>
        <v>0</v>
      </c>
      <c r="H43" s="68">
        <f>SUM(H17:H42)</f>
        <v>0</v>
      </c>
      <c r="I43" s="69">
        <f>SUM(I17:I42)</f>
        <v>0</v>
      </c>
      <c r="J43" s="70">
        <f t="shared" ref="J43" si="56">IF(I43=0,0,H43/I43)</f>
        <v>0</v>
      </c>
      <c r="K43" s="68">
        <f>SUM(K17:K42)</f>
        <v>0</v>
      </c>
      <c r="L43" s="69">
        <f>SUM(L17:L42)</f>
        <v>0</v>
      </c>
      <c r="M43" s="70">
        <f t="shared" ref="M43" si="57">IF(L43=0,0,K43/L43)</f>
        <v>0</v>
      </c>
      <c r="N43" s="68">
        <f>SUM(N17:N42)</f>
        <v>0</v>
      </c>
      <c r="O43" s="69">
        <f>SUM(O17:O42)</f>
        <v>0</v>
      </c>
      <c r="P43" s="70">
        <f t="shared" ref="P43" si="58">IF(O43=0,0,N43/O43)</f>
        <v>0</v>
      </c>
      <c r="Q43" s="68">
        <f>SUM(Q17:Q42)</f>
        <v>0</v>
      </c>
      <c r="R43" s="69">
        <f>SUM(R17:R42)</f>
        <v>0</v>
      </c>
      <c r="S43" s="70">
        <f t="shared" ref="S43" si="59">IF(R43=0,0,Q43/R43)</f>
        <v>0</v>
      </c>
      <c r="T43" s="68">
        <f>SUM(T17:T42)</f>
        <v>0</v>
      </c>
      <c r="U43" s="69">
        <f>SUM(U17:U42)</f>
        <v>0</v>
      </c>
      <c r="V43" s="70">
        <f t="shared" ref="V43" si="60">IF(U43=0,0,T43/U43)</f>
        <v>0</v>
      </c>
      <c r="W43" s="68">
        <f>SUM(W17:W42)</f>
        <v>0</v>
      </c>
      <c r="X43" s="69">
        <f>SUM(X17:X42)</f>
        <v>0</v>
      </c>
      <c r="Y43" s="70">
        <f t="shared" ref="Y43" si="61">IF(X43=0,0,W43/X43)</f>
        <v>0</v>
      </c>
      <c r="Z43" s="68">
        <f>SUM(Z17:Z42)</f>
        <v>0</v>
      </c>
      <c r="AA43" s="69">
        <f>SUM(AA17:AA42)</f>
        <v>0</v>
      </c>
      <c r="AB43" s="70">
        <f t="shared" ref="AB43" si="62">IF(AA43=0,0,Z43/AA43)</f>
        <v>0</v>
      </c>
      <c r="AC43" s="68">
        <f>SUM(AC17:AC42)</f>
        <v>0</v>
      </c>
      <c r="AD43" s="69">
        <f>SUM(AD17:AD42)</f>
        <v>0</v>
      </c>
      <c r="AE43" s="70">
        <f t="shared" ref="AE43" si="63">IF(AD43=0,0,AC43/AD43)</f>
        <v>0</v>
      </c>
      <c r="AF43" s="68">
        <f>SUM(AF17:AF42)</f>
        <v>0</v>
      </c>
      <c r="AG43" s="69">
        <f>SUM(AG17:AG42)</f>
        <v>0</v>
      </c>
      <c r="AH43" s="70">
        <f t="shared" ref="AH43" si="64">IF(AG43=0,0,AF43/AG43)</f>
        <v>0</v>
      </c>
      <c r="AI43" s="68">
        <f>SUM(AI17:AI42)</f>
        <v>0</v>
      </c>
      <c r="AJ43" s="69">
        <f>SUM(AJ17:AJ42)</f>
        <v>0</v>
      </c>
      <c r="AK43" s="70">
        <f t="shared" ref="AK43" si="65">IF(AJ43=0,0,AI43/AJ43)</f>
        <v>0</v>
      </c>
      <c r="AL43" s="68">
        <f>SUM(AL17:AL42)</f>
        <v>0</v>
      </c>
      <c r="AM43" s="69">
        <f>SUM(AM17:AM42)</f>
        <v>0</v>
      </c>
      <c r="AN43" s="70">
        <f t="shared" ref="AN43" si="66">IF(AM43=0,0,AL43/AM43)</f>
        <v>0</v>
      </c>
      <c r="AO43" s="68">
        <f>SUM(AO17:AO42)</f>
        <v>0</v>
      </c>
      <c r="AP43" s="69">
        <f>SUM(AP17:AP42)</f>
        <v>0</v>
      </c>
      <c r="AQ43" s="70">
        <f t="shared" ref="AQ43" si="67">IF(AP43=0,0,AO43/AP43)</f>
        <v>0</v>
      </c>
      <c r="AR43" s="68">
        <f>SUM(AR17:AR42)</f>
        <v>0</v>
      </c>
      <c r="AS43" s="69">
        <f>SUM(AS17:AS42)</f>
        <v>0</v>
      </c>
      <c r="AT43" s="70">
        <f t="shared" ref="AT43" si="68">IF(AS43=0,0,AR43/AS43)</f>
        <v>0</v>
      </c>
    </row>
  </sheetData>
  <sheetProtection sheet="1" objects="1" scenarios="1"/>
  <conditionalFormatting sqref="C3:C4">
    <cfRule type="expression" dxfId="345" priority="95">
      <formula>C3="Data Not Entered On Set-Up Worksheet"</formula>
    </cfRule>
  </conditionalFormatting>
  <conditionalFormatting sqref="C9">
    <cfRule type="expression" dxfId="344" priority="94">
      <formula>C9="Data Not Entered On Set-Up Worksheet"</formula>
    </cfRule>
  </conditionalFormatting>
  <conditionalFormatting sqref="C12">
    <cfRule type="expression" dxfId="343" priority="93">
      <formula>C12="Data Not Entered On Set-Up Worksheet"</formula>
    </cfRule>
  </conditionalFormatting>
  <conditionalFormatting sqref="B17:C39 B42:C42">
    <cfRule type="expression" dxfId="342" priority="92">
      <formula>AND($A17&lt;&gt;"",B17="")</formula>
    </cfRule>
  </conditionalFormatting>
  <conditionalFormatting sqref="F3">
    <cfRule type="expression" dxfId="341" priority="91">
      <formula>F3="Data Not Entered On Set-Up Worksheet"</formula>
    </cfRule>
  </conditionalFormatting>
  <conditionalFormatting sqref="F11:F12">
    <cfRule type="expression" dxfId="340" priority="90">
      <formula>F11="Data Not Entered On Set-Up Worksheet"</formula>
    </cfRule>
  </conditionalFormatting>
  <conditionalFormatting sqref="I3">
    <cfRule type="expression" dxfId="339" priority="89">
      <formula>I3="Data Not Entered On Set-Up Worksheet"</formula>
    </cfRule>
  </conditionalFormatting>
  <conditionalFormatting sqref="I9">
    <cfRule type="expression" dxfId="338" priority="88">
      <formula>I9="Data Not Entered On Set-Up Worksheet"</formula>
    </cfRule>
  </conditionalFormatting>
  <conditionalFormatting sqref="I11:I12">
    <cfRule type="expression" dxfId="337" priority="87">
      <formula>I11="Data Not Entered On Set-Up Worksheet"</formula>
    </cfRule>
  </conditionalFormatting>
  <conditionalFormatting sqref="O3">
    <cfRule type="expression" dxfId="336" priority="74">
      <formula>O3="Data Not Entered On Set-Up Worksheet"</formula>
    </cfRule>
  </conditionalFormatting>
  <conditionalFormatting sqref="O9">
    <cfRule type="expression" dxfId="335" priority="73">
      <formula>O9="Data Not Entered On Set-Up Worksheet"</formula>
    </cfRule>
  </conditionalFormatting>
  <conditionalFormatting sqref="O11:O12">
    <cfRule type="expression" dxfId="334" priority="72">
      <formula>O11="Data Not Entered On Set-Up Worksheet"</formula>
    </cfRule>
  </conditionalFormatting>
  <conditionalFormatting sqref="L3">
    <cfRule type="expression" dxfId="333" priority="64">
      <formula>L3="Data Not Entered On Set-Up Worksheet"</formula>
    </cfRule>
  </conditionalFormatting>
  <conditionalFormatting sqref="L9">
    <cfRule type="expression" dxfId="332" priority="63">
      <formula>L9="Data Not Entered On Set-Up Worksheet"</formula>
    </cfRule>
  </conditionalFormatting>
  <conditionalFormatting sqref="L11:L12">
    <cfRule type="expression" dxfId="331" priority="62">
      <formula>L11="Data Not Entered On Set-Up Worksheet"</formula>
    </cfRule>
  </conditionalFormatting>
  <conditionalFormatting sqref="C11">
    <cfRule type="expression" dxfId="330" priority="60">
      <formula>C11="Data Not Entered On Set-Up Worksheet"</formula>
    </cfRule>
  </conditionalFormatting>
  <conditionalFormatting sqref="E17:F39 E42:F42">
    <cfRule type="expression" dxfId="329" priority="56">
      <formula>AND($A17&lt;&gt;"",E17="")</formula>
    </cfRule>
  </conditionalFormatting>
  <conditionalFormatting sqref="H17:I39 H42:I42">
    <cfRule type="expression" dxfId="328" priority="55">
      <formula>AND($A17&lt;&gt;"",H17="")</formula>
    </cfRule>
  </conditionalFormatting>
  <conditionalFormatting sqref="R3:R4">
    <cfRule type="expression" dxfId="327" priority="54">
      <formula>R3="Data Not Entered On Set-Up Worksheet"</formula>
    </cfRule>
  </conditionalFormatting>
  <conditionalFormatting sqref="R9">
    <cfRule type="expression" dxfId="326" priority="53">
      <formula>R9="Data Not Entered On Set-Up Worksheet"</formula>
    </cfRule>
  </conditionalFormatting>
  <conditionalFormatting sqref="R12">
    <cfRule type="expression" dxfId="325" priority="52">
      <formula>R12="Data Not Entered On Set-Up Worksheet"</formula>
    </cfRule>
  </conditionalFormatting>
  <conditionalFormatting sqref="Q17:R39 Q42:R42">
    <cfRule type="expression" dxfId="324" priority="51">
      <formula>AND($A17&lt;&gt;"",Q17="")</formula>
    </cfRule>
  </conditionalFormatting>
  <conditionalFormatting sqref="U3">
    <cfRule type="expression" dxfId="323" priority="50">
      <formula>U3="Data Not Entered On Set-Up Worksheet"</formula>
    </cfRule>
  </conditionalFormatting>
  <conditionalFormatting sqref="U11:U12">
    <cfRule type="expression" dxfId="322" priority="49">
      <formula>U11="Data Not Entered On Set-Up Worksheet"</formula>
    </cfRule>
  </conditionalFormatting>
  <conditionalFormatting sqref="X3">
    <cfRule type="expression" dxfId="321" priority="48">
      <formula>X3="Data Not Entered On Set-Up Worksheet"</formula>
    </cfRule>
  </conditionalFormatting>
  <conditionalFormatting sqref="X9">
    <cfRule type="expression" dxfId="320" priority="47">
      <formula>X9="Data Not Entered On Set-Up Worksheet"</formula>
    </cfRule>
  </conditionalFormatting>
  <conditionalFormatting sqref="X11:X12">
    <cfRule type="expression" dxfId="319" priority="46">
      <formula>X11="Data Not Entered On Set-Up Worksheet"</formula>
    </cfRule>
  </conditionalFormatting>
  <conditionalFormatting sqref="AD3">
    <cfRule type="expression" dxfId="318" priority="45">
      <formula>AD3="Data Not Entered On Set-Up Worksheet"</formula>
    </cfRule>
  </conditionalFormatting>
  <conditionalFormatting sqref="AD9">
    <cfRule type="expression" dxfId="317" priority="44">
      <formula>AD9="Data Not Entered On Set-Up Worksheet"</formula>
    </cfRule>
  </conditionalFormatting>
  <conditionalFormatting sqref="AD11:AD12">
    <cfRule type="expression" dxfId="316" priority="43">
      <formula>AD11="Data Not Entered On Set-Up Worksheet"</formula>
    </cfRule>
  </conditionalFormatting>
  <conditionalFormatting sqref="AA3">
    <cfRule type="expression" dxfId="315" priority="42">
      <formula>AA3="Data Not Entered On Set-Up Worksheet"</formula>
    </cfRule>
  </conditionalFormatting>
  <conditionalFormatting sqref="AA9">
    <cfRule type="expression" dxfId="314" priority="41">
      <formula>AA9="Data Not Entered On Set-Up Worksheet"</formula>
    </cfRule>
  </conditionalFormatting>
  <conditionalFormatting sqref="AA11:AA12">
    <cfRule type="expression" dxfId="313" priority="40">
      <formula>AA11="Data Not Entered On Set-Up Worksheet"</formula>
    </cfRule>
  </conditionalFormatting>
  <conditionalFormatting sqref="R11">
    <cfRule type="expression" dxfId="312" priority="39">
      <formula>R11="Data Not Entered On Set-Up Worksheet"</formula>
    </cfRule>
  </conditionalFormatting>
  <conditionalFormatting sqref="T17:U39 T42:U42">
    <cfRule type="expression" dxfId="311" priority="38">
      <formula>AND($A17&lt;&gt;"",T17="")</formula>
    </cfRule>
  </conditionalFormatting>
  <conditionalFormatting sqref="W17:X39 W42:X42">
    <cfRule type="expression" dxfId="310" priority="37">
      <formula>AND($A17&lt;&gt;"",W17="")</formula>
    </cfRule>
  </conditionalFormatting>
  <conditionalFormatting sqref="AG3:AG4">
    <cfRule type="expression" dxfId="309" priority="36">
      <formula>AG3="Data Not Entered On Set-Up Worksheet"</formula>
    </cfRule>
  </conditionalFormatting>
  <conditionalFormatting sqref="AG9">
    <cfRule type="expression" dxfId="308" priority="35">
      <formula>AG9="Data Not Entered On Set-Up Worksheet"</formula>
    </cfRule>
  </conditionalFormatting>
  <conditionalFormatting sqref="AG12">
    <cfRule type="expression" dxfId="307" priority="34">
      <formula>AG12="Data Not Entered On Set-Up Worksheet"</formula>
    </cfRule>
  </conditionalFormatting>
  <conditionalFormatting sqref="AF17:AG39 AF42:AG42">
    <cfRule type="expression" dxfId="306" priority="33">
      <formula>AND($A17&lt;&gt;"",AF17="")</formula>
    </cfRule>
  </conditionalFormatting>
  <conditionalFormatting sqref="AJ3">
    <cfRule type="expression" dxfId="305" priority="32">
      <formula>AJ3="Data Not Entered On Set-Up Worksheet"</formula>
    </cfRule>
  </conditionalFormatting>
  <conditionalFormatting sqref="AJ11:AJ12">
    <cfRule type="expression" dxfId="304" priority="31">
      <formula>AJ11="Data Not Entered On Set-Up Worksheet"</formula>
    </cfRule>
  </conditionalFormatting>
  <conditionalFormatting sqref="AM3">
    <cfRule type="expression" dxfId="303" priority="30">
      <formula>AM3="Data Not Entered On Set-Up Worksheet"</formula>
    </cfRule>
  </conditionalFormatting>
  <conditionalFormatting sqref="AM9">
    <cfRule type="expression" dxfId="302" priority="29">
      <formula>AM9="Data Not Entered On Set-Up Worksheet"</formula>
    </cfRule>
  </conditionalFormatting>
  <conditionalFormatting sqref="AM11:AM12">
    <cfRule type="expression" dxfId="301" priority="28">
      <formula>AM11="Data Not Entered On Set-Up Worksheet"</formula>
    </cfRule>
  </conditionalFormatting>
  <conditionalFormatting sqref="AS3">
    <cfRule type="expression" dxfId="300" priority="27">
      <formula>AS3="Data Not Entered On Set-Up Worksheet"</formula>
    </cfRule>
  </conditionalFormatting>
  <conditionalFormatting sqref="AS9">
    <cfRule type="expression" dxfId="299" priority="26">
      <formula>AS9="Data Not Entered On Set-Up Worksheet"</formula>
    </cfRule>
  </conditionalFormatting>
  <conditionalFormatting sqref="AS11:AS12">
    <cfRule type="expression" dxfId="298" priority="25">
      <formula>AS11="Data Not Entered On Set-Up Worksheet"</formula>
    </cfRule>
  </conditionalFormatting>
  <conditionalFormatting sqref="AP3">
    <cfRule type="expression" dxfId="297" priority="24">
      <formula>AP3="Data Not Entered On Set-Up Worksheet"</formula>
    </cfRule>
  </conditionalFormatting>
  <conditionalFormatting sqref="AP9">
    <cfRule type="expression" dxfId="296" priority="23">
      <formula>AP9="Data Not Entered On Set-Up Worksheet"</formula>
    </cfRule>
  </conditionalFormatting>
  <conditionalFormatting sqref="AP11:AP12">
    <cfRule type="expression" dxfId="295" priority="22">
      <formula>AP11="Data Not Entered On Set-Up Worksheet"</formula>
    </cfRule>
  </conditionalFormatting>
  <conditionalFormatting sqref="AG11">
    <cfRule type="expression" dxfId="294" priority="21">
      <formula>AG11="Data Not Entered On Set-Up Worksheet"</formula>
    </cfRule>
  </conditionalFormatting>
  <conditionalFormatting sqref="AI17:AJ39 AI42:AJ42">
    <cfRule type="expression" dxfId="293" priority="20">
      <formula>AND($A17&lt;&gt;"",AI17="")</formula>
    </cfRule>
  </conditionalFormatting>
  <conditionalFormatting sqref="AL17:AM39 AL42:AM42">
    <cfRule type="expression" dxfId="292" priority="19">
      <formula>AND($A17&lt;&gt;"",AL17="")</formula>
    </cfRule>
  </conditionalFormatting>
  <conditionalFormatting sqref="B40:C40">
    <cfRule type="expression" dxfId="291" priority="18">
      <formula>AND($A40&lt;&gt;"",B40="")</formula>
    </cfRule>
  </conditionalFormatting>
  <conditionalFormatting sqref="E40:F40">
    <cfRule type="expression" dxfId="290" priority="17">
      <formula>AND($A40&lt;&gt;"",E40="")</formula>
    </cfRule>
  </conditionalFormatting>
  <conditionalFormatting sqref="H40:I40">
    <cfRule type="expression" dxfId="289" priority="16">
      <formula>AND($A40&lt;&gt;"",H40="")</formula>
    </cfRule>
  </conditionalFormatting>
  <conditionalFormatting sqref="Q40:R40">
    <cfRule type="expression" dxfId="288" priority="15">
      <formula>AND($A40&lt;&gt;"",Q40="")</formula>
    </cfRule>
  </conditionalFormatting>
  <conditionalFormatting sqref="T40:U40">
    <cfRule type="expression" dxfId="287" priority="14">
      <formula>AND($A40&lt;&gt;"",T40="")</formula>
    </cfRule>
  </conditionalFormatting>
  <conditionalFormatting sqref="W40:X40">
    <cfRule type="expression" dxfId="286" priority="13">
      <formula>AND($A40&lt;&gt;"",W40="")</formula>
    </cfRule>
  </conditionalFormatting>
  <conditionalFormatting sqref="AF40:AG40">
    <cfRule type="expression" dxfId="285" priority="12">
      <formula>AND($A40&lt;&gt;"",AF40="")</formula>
    </cfRule>
  </conditionalFormatting>
  <conditionalFormatting sqref="AI40:AJ40">
    <cfRule type="expression" dxfId="284" priority="11">
      <formula>AND($A40&lt;&gt;"",AI40="")</formula>
    </cfRule>
  </conditionalFormatting>
  <conditionalFormatting sqref="AL40:AM40">
    <cfRule type="expression" dxfId="283" priority="10">
      <formula>AND($A40&lt;&gt;"",AL40="")</formula>
    </cfRule>
  </conditionalFormatting>
  <conditionalFormatting sqref="B41:C41">
    <cfRule type="expression" dxfId="282" priority="9">
      <formula>AND($A41&lt;&gt;"",B41="")</formula>
    </cfRule>
  </conditionalFormatting>
  <conditionalFormatting sqref="E41:F41">
    <cfRule type="expression" dxfId="281" priority="8">
      <formula>AND($A41&lt;&gt;"",E41="")</formula>
    </cfRule>
  </conditionalFormatting>
  <conditionalFormatting sqref="H41:I41">
    <cfRule type="expression" dxfId="280" priority="7">
      <formula>AND($A41&lt;&gt;"",H41="")</formula>
    </cfRule>
  </conditionalFormatting>
  <conditionalFormatting sqref="Q41:R41">
    <cfRule type="expression" dxfId="279" priority="6">
      <formula>AND($A41&lt;&gt;"",Q41="")</formula>
    </cfRule>
  </conditionalFormatting>
  <conditionalFormatting sqref="T41:U41">
    <cfRule type="expression" dxfId="278" priority="5">
      <formula>AND($A41&lt;&gt;"",T41="")</formula>
    </cfRule>
  </conditionalFormatting>
  <conditionalFormatting sqref="W41:X41">
    <cfRule type="expression" dxfId="277" priority="4">
      <formula>AND($A41&lt;&gt;"",W41="")</formula>
    </cfRule>
  </conditionalFormatting>
  <conditionalFormatting sqref="AF41:AG41">
    <cfRule type="expression" dxfId="276" priority="3">
      <formula>AND($A41&lt;&gt;"",AF41="")</formula>
    </cfRule>
  </conditionalFormatting>
  <conditionalFormatting sqref="AI41:AJ41">
    <cfRule type="expression" dxfId="275" priority="2">
      <formula>AND($A41&lt;&gt;"",AI41="")</formula>
    </cfRule>
  </conditionalFormatting>
  <conditionalFormatting sqref="AL41:AM41">
    <cfRule type="expression" dxfId="274" priority="1">
      <formula>AND($A41&lt;&gt;"",AL41="")</formula>
    </cfRule>
  </conditionalFormatting>
  <pageMargins left="0.3" right="0.3" top="0.5" bottom="0.5" header="0.3" footer="0.3"/>
  <pageSetup scale="40" fitToWidth="3" orientation="landscape" r:id="rId1"/>
  <headerFooter>
    <oddFooter>&amp;LNC DHHS LME-MCO Performance Measures Report Part II DMH/DD/SAS Measures&amp;C&amp;P&amp;R&amp;F</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53"/>
  <sheetViews>
    <sheetView showGridLines="0" workbookViewId="0">
      <pane ySplit="9" topLeftCell="A10" activePane="bottomLeft" state="frozen"/>
      <selection activeCell="K14" sqref="K14"/>
      <selection pane="bottomLeft" activeCell="A11" sqref="A11"/>
    </sheetView>
  </sheetViews>
  <sheetFormatPr defaultRowHeight="12.75"/>
  <cols>
    <col min="1" max="1" width="57.28515625" customWidth="1"/>
    <col min="2" max="2" width="21" bestFit="1" customWidth="1"/>
    <col min="3" max="3" width="19.5703125" bestFit="1" customWidth="1"/>
    <col min="4" max="5" width="18.42578125" bestFit="1" customWidth="1"/>
    <col min="6" max="6" width="18.28515625" customWidth="1"/>
    <col min="7" max="7" width="18.140625" customWidth="1"/>
    <col min="9" max="9" width="10.7109375" customWidth="1"/>
    <col min="256" max="256" width="57.28515625" customWidth="1"/>
    <col min="257" max="257" width="21" bestFit="1" customWidth="1"/>
    <col min="258" max="258" width="19.5703125" bestFit="1" customWidth="1"/>
    <col min="259" max="260" width="18.42578125" bestFit="1" customWidth="1"/>
    <col min="261" max="261" width="18.28515625" bestFit="1" customWidth="1"/>
    <col min="262" max="262" width="18.140625" bestFit="1" customWidth="1"/>
    <col min="512" max="512" width="57.28515625" customWidth="1"/>
    <col min="513" max="513" width="21" bestFit="1" customWidth="1"/>
    <col min="514" max="514" width="19.5703125" bestFit="1" customWidth="1"/>
    <col min="515" max="516" width="18.42578125" bestFit="1" customWidth="1"/>
    <col min="517" max="517" width="18.28515625" bestFit="1" customWidth="1"/>
    <col min="518" max="518" width="18.140625" bestFit="1" customWidth="1"/>
    <col min="768" max="768" width="57.28515625" customWidth="1"/>
    <col min="769" max="769" width="21" bestFit="1" customWidth="1"/>
    <col min="770" max="770" width="19.5703125" bestFit="1" customWidth="1"/>
    <col min="771" max="772" width="18.42578125" bestFit="1" customWidth="1"/>
    <col min="773" max="773" width="18.28515625" bestFit="1" customWidth="1"/>
    <col min="774" max="774" width="18.140625" bestFit="1" customWidth="1"/>
    <col min="1024" max="1024" width="57.28515625" customWidth="1"/>
    <col min="1025" max="1025" width="21" bestFit="1" customWidth="1"/>
    <col min="1026" max="1026" width="19.5703125" bestFit="1" customWidth="1"/>
    <col min="1027" max="1028" width="18.42578125" bestFit="1" customWidth="1"/>
    <col min="1029" max="1029" width="18.28515625" bestFit="1" customWidth="1"/>
    <col min="1030" max="1030" width="18.140625" bestFit="1" customWidth="1"/>
    <col min="1280" max="1280" width="57.28515625" customWidth="1"/>
    <col min="1281" max="1281" width="21" bestFit="1" customWidth="1"/>
    <col min="1282" max="1282" width="19.5703125" bestFit="1" customWidth="1"/>
    <col min="1283" max="1284" width="18.42578125" bestFit="1" customWidth="1"/>
    <col min="1285" max="1285" width="18.28515625" bestFit="1" customWidth="1"/>
    <col min="1286" max="1286" width="18.140625" bestFit="1" customWidth="1"/>
    <col min="1536" max="1536" width="57.28515625" customWidth="1"/>
    <col min="1537" max="1537" width="21" bestFit="1" customWidth="1"/>
    <col min="1538" max="1538" width="19.5703125" bestFit="1" customWidth="1"/>
    <col min="1539" max="1540" width="18.42578125" bestFit="1" customWidth="1"/>
    <col min="1541" max="1541" width="18.28515625" bestFit="1" customWidth="1"/>
    <col min="1542" max="1542" width="18.140625" bestFit="1" customWidth="1"/>
    <col min="1792" max="1792" width="57.28515625" customWidth="1"/>
    <col min="1793" max="1793" width="21" bestFit="1" customWidth="1"/>
    <col min="1794" max="1794" width="19.5703125" bestFit="1" customWidth="1"/>
    <col min="1795" max="1796" width="18.42578125" bestFit="1" customWidth="1"/>
    <col min="1797" max="1797" width="18.28515625" bestFit="1" customWidth="1"/>
    <col min="1798" max="1798" width="18.140625" bestFit="1" customWidth="1"/>
    <col min="2048" max="2048" width="57.28515625" customWidth="1"/>
    <col min="2049" max="2049" width="21" bestFit="1" customWidth="1"/>
    <col min="2050" max="2050" width="19.5703125" bestFit="1" customWidth="1"/>
    <col min="2051" max="2052" width="18.42578125" bestFit="1" customWidth="1"/>
    <col min="2053" max="2053" width="18.28515625" bestFit="1" customWidth="1"/>
    <col min="2054" max="2054" width="18.140625" bestFit="1" customWidth="1"/>
    <col min="2304" max="2304" width="57.28515625" customWidth="1"/>
    <col min="2305" max="2305" width="21" bestFit="1" customWidth="1"/>
    <col min="2306" max="2306" width="19.5703125" bestFit="1" customWidth="1"/>
    <col min="2307" max="2308" width="18.42578125" bestFit="1" customWidth="1"/>
    <col min="2309" max="2309" width="18.28515625" bestFit="1" customWidth="1"/>
    <col min="2310" max="2310" width="18.140625" bestFit="1" customWidth="1"/>
    <col min="2560" max="2560" width="57.28515625" customWidth="1"/>
    <col min="2561" max="2561" width="21" bestFit="1" customWidth="1"/>
    <col min="2562" max="2562" width="19.5703125" bestFit="1" customWidth="1"/>
    <col min="2563" max="2564" width="18.42578125" bestFit="1" customWidth="1"/>
    <col min="2565" max="2565" width="18.28515625" bestFit="1" customWidth="1"/>
    <col min="2566" max="2566" width="18.140625" bestFit="1" customWidth="1"/>
    <col min="2816" max="2816" width="57.28515625" customWidth="1"/>
    <col min="2817" max="2817" width="21" bestFit="1" customWidth="1"/>
    <col min="2818" max="2818" width="19.5703125" bestFit="1" customWidth="1"/>
    <col min="2819" max="2820" width="18.42578125" bestFit="1" customWidth="1"/>
    <col min="2821" max="2821" width="18.28515625" bestFit="1" customWidth="1"/>
    <col min="2822" max="2822" width="18.140625" bestFit="1" customWidth="1"/>
    <col min="3072" max="3072" width="57.28515625" customWidth="1"/>
    <col min="3073" max="3073" width="21" bestFit="1" customWidth="1"/>
    <col min="3074" max="3074" width="19.5703125" bestFit="1" customWidth="1"/>
    <col min="3075" max="3076" width="18.42578125" bestFit="1" customWidth="1"/>
    <col min="3077" max="3077" width="18.28515625" bestFit="1" customWidth="1"/>
    <col min="3078" max="3078" width="18.140625" bestFit="1" customWidth="1"/>
    <col min="3328" max="3328" width="57.28515625" customWidth="1"/>
    <col min="3329" max="3329" width="21" bestFit="1" customWidth="1"/>
    <col min="3330" max="3330" width="19.5703125" bestFit="1" customWidth="1"/>
    <col min="3331" max="3332" width="18.42578125" bestFit="1" customWidth="1"/>
    <col min="3333" max="3333" width="18.28515625" bestFit="1" customWidth="1"/>
    <col min="3334" max="3334" width="18.140625" bestFit="1" customWidth="1"/>
    <col min="3584" max="3584" width="57.28515625" customWidth="1"/>
    <col min="3585" max="3585" width="21" bestFit="1" customWidth="1"/>
    <col min="3586" max="3586" width="19.5703125" bestFit="1" customWidth="1"/>
    <col min="3587" max="3588" width="18.42578125" bestFit="1" customWidth="1"/>
    <col min="3589" max="3589" width="18.28515625" bestFit="1" customWidth="1"/>
    <col min="3590" max="3590" width="18.140625" bestFit="1" customWidth="1"/>
    <col min="3840" max="3840" width="57.28515625" customWidth="1"/>
    <col min="3841" max="3841" width="21" bestFit="1" customWidth="1"/>
    <col min="3842" max="3842" width="19.5703125" bestFit="1" customWidth="1"/>
    <col min="3843" max="3844" width="18.42578125" bestFit="1" customWidth="1"/>
    <col min="3845" max="3845" width="18.28515625" bestFit="1" customWidth="1"/>
    <col min="3846" max="3846" width="18.140625" bestFit="1" customWidth="1"/>
    <col min="4096" max="4096" width="57.28515625" customWidth="1"/>
    <col min="4097" max="4097" width="21" bestFit="1" customWidth="1"/>
    <col min="4098" max="4098" width="19.5703125" bestFit="1" customWidth="1"/>
    <col min="4099" max="4100" width="18.42578125" bestFit="1" customWidth="1"/>
    <col min="4101" max="4101" width="18.28515625" bestFit="1" customWidth="1"/>
    <col min="4102" max="4102" width="18.140625" bestFit="1" customWidth="1"/>
    <col min="4352" max="4352" width="57.28515625" customWidth="1"/>
    <col min="4353" max="4353" width="21" bestFit="1" customWidth="1"/>
    <col min="4354" max="4354" width="19.5703125" bestFit="1" customWidth="1"/>
    <col min="4355" max="4356" width="18.42578125" bestFit="1" customWidth="1"/>
    <col min="4357" max="4357" width="18.28515625" bestFit="1" customWidth="1"/>
    <col min="4358" max="4358" width="18.140625" bestFit="1" customWidth="1"/>
    <col min="4608" max="4608" width="57.28515625" customWidth="1"/>
    <col min="4609" max="4609" width="21" bestFit="1" customWidth="1"/>
    <col min="4610" max="4610" width="19.5703125" bestFit="1" customWidth="1"/>
    <col min="4611" max="4612" width="18.42578125" bestFit="1" customWidth="1"/>
    <col min="4613" max="4613" width="18.28515625" bestFit="1" customWidth="1"/>
    <col min="4614" max="4614" width="18.140625" bestFit="1" customWidth="1"/>
    <col min="4864" max="4864" width="57.28515625" customWidth="1"/>
    <col min="4865" max="4865" width="21" bestFit="1" customWidth="1"/>
    <col min="4866" max="4866" width="19.5703125" bestFit="1" customWidth="1"/>
    <col min="4867" max="4868" width="18.42578125" bestFit="1" customWidth="1"/>
    <col min="4869" max="4869" width="18.28515625" bestFit="1" customWidth="1"/>
    <col min="4870" max="4870" width="18.140625" bestFit="1" customWidth="1"/>
    <col min="5120" max="5120" width="57.28515625" customWidth="1"/>
    <col min="5121" max="5121" width="21" bestFit="1" customWidth="1"/>
    <col min="5122" max="5122" width="19.5703125" bestFit="1" customWidth="1"/>
    <col min="5123" max="5124" width="18.42578125" bestFit="1" customWidth="1"/>
    <col min="5125" max="5125" width="18.28515625" bestFit="1" customWidth="1"/>
    <col min="5126" max="5126" width="18.140625" bestFit="1" customWidth="1"/>
    <col min="5376" max="5376" width="57.28515625" customWidth="1"/>
    <col min="5377" max="5377" width="21" bestFit="1" customWidth="1"/>
    <col min="5378" max="5378" width="19.5703125" bestFit="1" customWidth="1"/>
    <col min="5379" max="5380" width="18.42578125" bestFit="1" customWidth="1"/>
    <col min="5381" max="5381" width="18.28515625" bestFit="1" customWidth="1"/>
    <col min="5382" max="5382" width="18.140625" bestFit="1" customWidth="1"/>
    <col min="5632" max="5632" width="57.28515625" customWidth="1"/>
    <col min="5633" max="5633" width="21" bestFit="1" customWidth="1"/>
    <col min="5634" max="5634" width="19.5703125" bestFit="1" customWidth="1"/>
    <col min="5635" max="5636" width="18.42578125" bestFit="1" customWidth="1"/>
    <col min="5637" max="5637" width="18.28515625" bestFit="1" customWidth="1"/>
    <col min="5638" max="5638" width="18.140625" bestFit="1" customWidth="1"/>
    <col min="5888" max="5888" width="57.28515625" customWidth="1"/>
    <col min="5889" max="5889" width="21" bestFit="1" customWidth="1"/>
    <col min="5890" max="5890" width="19.5703125" bestFit="1" customWidth="1"/>
    <col min="5891" max="5892" width="18.42578125" bestFit="1" customWidth="1"/>
    <col min="5893" max="5893" width="18.28515625" bestFit="1" customWidth="1"/>
    <col min="5894" max="5894" width="18.140625" bestFit="1" customWidth="1"/>
    <col min="6144" max="6144" width="57.28515625" customWidth="1"/>
    <col min="6145" max="6145" width="21" bestFit="1" customWidth="1"/>
    <col min="6146" max="6146" width="19.5703125" bestFit="1" customWidth="1"/>
    <col min="6147" max="6148" width="18.42578125" bestFit="1" customWidth="1"/>
    <col min="6149" max="6149" width="18.28515625" bestFit="1" customWidth="1"/>
    <col min="6150" max="6150" width="18.140625" bestFit="1" customWidth="1"/>
    <col min="6400" max="6400" width="57.28515625" customWidth="1"/>
    <col min="6401" max="6401" width="21" bestFit="1" customWidth="1"/>
    <col min="6402" max="6402" width="19.5703125" bestFit="1" customWidth="1"/>
    <col min="6403" max="6404" width="18.42578125" bestFit="1" customWidth="1"/>
    <col min="6405" max="6405" width="18.28515625" bestFit="1" customWidth="1"/>
    <col min="6406" max="6406" width="18.140625" bestFit="1" customWidth="1"/>
    <col min="6656" max="6656" width="57.28515625" customWidth="1"/>
    <col min="6657" max="6657" width="21" bestFit="1" customWidth="1"/>
    <col min="6658" max="6658" width="19.5703125" bestFit="1" customWidth="1"/>
    <col min="6659" max="6660" width="18.42578125" bestFit="1" customWidth="1"/>
    <col min="6661" max="6661" width="18.28515625" bestFit="1" customWidth="1"/>
    <col min="6662" max="6662" width="18.140625" bestFit="1" customWidth="1"/>
    <col min="6912" max="6912" width="57.28515625" customWidth="1"/>
    <col min="6913" max="6913" width="21" bestFit="1" customWidth="1"/>
    <col min="6914" max="6914" width="19.5703125" bestFit="1" customWidth="1"/>
    <col min="6915" max="6916" width="18.42578125" bestFit="1" customWidth="1"/>
    <col min="6917" max="6917" width="18.28515625" bestFit="1" customWidth="1"/>
    <col min="6918" max="6918" width="18.140625" bestFit="1" customWidth="1"/>
    <col min="7168" max="7168" width="57.28515625" customWidth="1"/>
    <col min="7169" max="7169" width="21" bestFit="1" customWidth="1"/>
    <col min="7170" max="7170" width="19.5703125" bestFit="1" customWidth="1"/>
    <col min="7171" max="7172" width="18.42578125" bestFit="1" customWidth="1"/>
    <col min="7173" max="7173" width="18.28515625" bestFit="1" customWidth="1"/>
    <col min="7174" max="7174" width="18.140625" bestFit="1" customWidth="1"/>
    <col min="7424" max="7424" width="57.28515625" customWidth="1"/>
    <col min="7425" max="7425" width="21" bestFit="1" customWidth="1"/>
    <col min="7426" max="7426" width="19.5703125" bestFit="1" customWidth="1"/>
    <col min="7427" max="7428" width="18.42578125" bestFit="1" customWidth="1"/>
    <col min="7429" max="7429" width="18.28515625" bestFit="1" customWidth="1"/>
    <col min="7430" max="7430" width="18.140625" bestFit="1" customWidth="1"/>
    <col min="7680" max="7680" width="57.28515625" customWidth="1"/>
    <col min="7681" max="7681" width="21" bestFit="1" customWidth="1"/>
    <col min="7682" max="7682" width="19.5703125" bestFit="1" customWidth="1"/>
    <col min="7683" max="7684" width="18.42578125" bestFit="1" customWidth="1"/>
    <col min="7685" max="7685" width="18.28515625" bestFit="1" customWidth="1"/>
    <col min="7686" max="7686" width="18.140625" bestFit="1" customWidth="1"/>
    <col min="7936" max="7936" width="57.28515625" customWidth="1"/>
    <col min="7937" max="7937" width="21" bestFit="1" customWidth="1"/>
    <col min="7938" max="7938" width="19.5703125" bestFit="1" customWidth="1"/>
    <col min="7939" max="7940" width="18.42578125" bestFit="1" customWidth="1"/>
    <col min="7941" max="7941" width="18.28515625" bestFit="1" customWidth="1"/>
    <col min="7942" max="7942" width="18.140625" bestFit="1" customWidth="1"/>
    <col min="8192" max="8192" width="57.28515625" customWidth="1"/>
    <col min="8193" max="8193" width="21" bestFit="1" customWidth="1"/>
    <col min="8194" max="8194" width="19.5703125" bestFit="1" customWidth="1"/>
    <col min="8195" max="8196" width="18.42578125" bestFit="1" customWidth="1"/>
    <col min="8197" max="8197" width="18.28515625" bestFit="1" customWidth="1"/>
    <col min="8198" max="8198" width="18.140625" bestFit="1" customWidth="1"/>
    <col min="8448" max="8448" width="57.28515625" customWidth="1"/>
    <col min="8449" max="8449" width="21" bestFit="1" customWidth="1"/>
    <col min="8450" max="8450" width="19.5703125" bestFit="1" customWidth="1"/>
    <col min="8451" max="8452" width="18.42578125" bestFit="1" customWidth="1"/>
    <col min="8453" max="8453" width="18.28515625" bestFit="1" customWidth="1"/>
    <col min="8454" max="8454" width="18.140625" bestFit="1" customWidth="1"/>
    <col min="8704" max="8704" width="57.28515625" customWidth="1"/>
    <col min="8705" max="8705" width="21" bestFit="1" customWidth="1"/>
    <col min="8706" max="8706" width="19.5703125" bestFit="1" customWidth="1"/>
    <col min="8707" max="8708" width="18.42578125" bestFit="1" customWidth="1"/>
    <col min="8709" max="8709" width="18.28515625" bestFit="1" customWidth="1"/>
    <col min="8710" max="8710" width="18.140625" bestFit="1" customWidth="1"/>
    <col min="8960" max="8960" width="57.28515625" customWidth="1"/>
    <col min="8961" max="8961" width="21" bestFit="1" customWidth="1"/>
    <col min="8962" max="8962" width="19.5703125" bestFit="1" customWidth="1"/>
    <col min="8963" max="8964" width="18.42578125" bestFit="1" customWidth="1"/>
    <col min="8965" max="8965" width="18.28515625" bestFit="1" customWidth="1"/>
    <col min="8966" max="8966" width="18.140625" bestFit="1" customWidth="1"/>
    <col min="9216" max="9216" width="57.28515625" customWidth="1"/>
    <col min="9217" max="9217" width="21" bestFit="1" customWidth="1"/>
    <col min="9218" max="9218" width="19.5703125" bestFit="1" customWidth="1"/>
    <col min="9219" max="9220" width="18.42578125" bestFit="1" customWidth="1"/>
    <col min="9221" max="9221" width="18.28515625" bestFit="1" customWidth="1"/>
    <col min="9222" max="9222" width="18.140625" bestFit="1" customWidth="1"/>
    <col min="9472" max="9472" width="57.28515625" customWidth="1"/>
    <col min="9473" max="9473" width="21" bestFit="1" customWidth="1"/>
    <col min="9474" max="9474" width="19.5703125" bestFit="1" customWidth="1"/>
    <col min="9475" max="9476" width="18.42578125" bestFit="1" customWidth="1"/>
    <col min="9477" max="9477" width="18.28515625" bestFit="1" customWidth="1"/>
    <col min="9478" max="9478" width="18.140625" bestFit="1" customWidth="1"/>
    <col min="9728" max="9728" width="57.28515625" customWidth="1"/>
    <col min="9729" max="9729" width="21" bestFit="1" customWidth="1"/>
    <col min="9730" max="9730" width="19.5703125" bestFit="1" customWidth="1"/>
    <col min="9731" max="9732" width="18.42578125" bestFit="1" customWidth="1"/>
    <col min="9733" max="9733" width="18.28515625" bestFit="1" customWidth="1"/>
    <col min="9734" max="9734" width="18.140625" bestFit="1" customWidth="1"/>
    <col min="9984" max="9984" width="57.28515625" customWidth="1"/>
    <col min="9985" max="9985" width="21" bestFit="1" customWidth="1"/>
    <col min="9986" max="9986" width="19.5703125" bestFit="1" customWidth="1"/>
    <col min="9987" max="9988" width="18.42578125" bestFit="1" customWidth="1"/>
    <col min="9989" max="9989" width="18.28515625" bestFit="1" customWidth="1"/>
    <col min="9990" max="9990" width="18.140625" bestFit="1" customWidth="1"/>
    <col min="10240" max="10240" width="57.28515625" customWidth="1"/>
    <col min="10241" max="10241" width="21" bestFit="1" customWidth="1"/>
    <col min="10242" max="10242" width="19.5703125" bestFit="1" customWidth="1"/>
    <col min="10243" max="10244" width="18.42578125" bestFit="1" customWidth="1"/>
    <col min="10245" max="10245" width="18.28515625" bestFit="1" customWidth="1"/>
    <col min="10246" max="10246" width="18.140625" bestFit="1" customWidth="1"/>
    <col min="10496" max="10496" width="57.28515625" customWidth="1"/>
    <col min="10497" max="10497" width="21" bestFit="1" customWidth="1"/>
    <col min="10498" max="10498" width="19.5703125" bestFit="1" customWidth="1"/>
    <col min="10499" max="10500" width="18.42578125" bestFit="1" customWidth="1"/>
    <col min="10501" max="10501" width="18.28515625" bestFit="1" customWidth="1"/>
    <col min="10502" max="10502" width="18.140625" bestFit="1" customWidth="1"/>
    <col min="10752" max="10752" width="57.28515625" customWidth="1"/>
    <col min="10753" max="10753" width="21" bestFit="1" customWidth="1"/>
    <col min="10754" max="10754" width="19.5703125" bestFit="1" customWidth="1"/>
    <col min="10755" max="10756" width="18.42578125" bestFit="1" customWidth="1"/>
    <col min="10757" max="10757" width="18.28515625" bestFit="1" customWidth="1"/>
    <col min="10758" max="10758" width="18.140625" bestFit="1" customWidth="1"/>
    <col min="11008" max="11008" width="57.28515625" customWidth="1"/>
    <col min="11009" max="11009" width="21" bestFit="1" customWidth="1"/>
    <col min="11010" max="11010" width="19.5703125" bestFit="1" customWidth="1"/>
    <col min="11011" max="11012" width="18.42578125" bestFit="1" customWidth="1"/>
    <col min="11013" max="11013" width="18.28515625" bestFit="1" customWidth="1"/>
    <col min="11014" max="11014" width="18.140625" bestFit="1" customWidth="1"/>
    <col min="11264" max="11264" width="57.28515625" customWidth="1"/>
    <col min="11265" max="11265" width="21" bestFit="1" customWidth="1"/>
    <col min="11266" max="11266" width="19.5703125" bestFit="1" customWidth="1"/>
    <col min="11267" max="11268" width="18.42578125" bestFit="1" customWidth="1"/>
    <col min="11269" max="11269" width="18.28515625" bestFit="1" customWidth="1"/>
    <col min="11270" max="11270" width="18.140625" bestFit="1" customWidth="1"/>
    <col min="11520" max="11520" width="57.28515625" customWidth="1"/>
    <col min="11521" max="11521" width="21" bestFit="1" customWidth="1"/>
    <col min="11522" max="11522" width="19.5703125" bestFit="1" customWidth="1"/>
    <col min="11523" max="11524" width="18.42578125" bestFit="1" customWidth="1"/>
    <col min="11525" max="11525" width="18.28515625" bestFit="1" customWidth="1"/>
    <col min="11526" max="11526" width="18.140625" bestFit="1" customWidth="1"/>
    <col min="11776" max="11776" width="57.28515625" customWidth="1"/>
    <col min="11777" max="11777" width="21" bestFit="1" customWidth="1"/>
    <col min="11778" max="11778" width="19.5703125" bestFit="1" customWidth="1"/>
    <col min="11779" max="11780" width="18.42578125" bestFit="1" customWidth="1"/>
    <col min="11781" max="11781" width="18.28515625" bestFit="1" customWidth="1"/>
    <col min="11782" max="11782" width="18.140625" bestFit="1" customWidth="1"/>
    <col min="12032" max="12032" width="57.28515625" customWidth="1"/>
    <col min="12033" max="12033" width="21" bestFit="1" customWidth="1"/>
    <col min="12034" max="12034" width="19.5703125" bestFit="1" customWidth="1"/>
    <col min="12035" max="12036" width="18.42578125" bestFit="1" customWidth="1"/>
    <col min="12037" max="12037" width="18.28515625" bestFit="1" customWidth="1"/>
    <col min="12038" max="12038" width="18.140625" bestFit="1" customWidth="1"/>
    <col min="12288" max="12288" width="57.28515625" customWidth="1"/>
    <col min="12289" max="12289" width="21" bestFit="1" customWidth="1"/>
    <col min="12290" max="12290" width="19.5703125" bestFit="1" customWidth="1"/>
    <col min="12291" max="12292" width="18.42578125" bestFit="1" customWidth="1"/>
    <col min="12293" max="12293" width="18.28515625" bestFit="1" customWidth="1"/>
    <col min="12294" max="12294" width="18.140625" bestFit="1" customWidth="1"/>
    <col min="12544" max="12544" width="57.28515625" customWidth="1"/>
    <col min="12545" max="12545" width="21" bestFit="1" customWidth="1"/>
    <col min="12546" max="12546" width="19.5703125" bestFit="1" customWidth="1"/>
    <col min="12547" max="12548" width="18.42578125" bestFit="1" customWidth="1"/>
    <col min="12549" max="12549" width="18.28515625" bestFit="1" customWidth="1"/>
    <col min="12550" max="12550" width="18.140625" bestFit="1" customWidth="1"/>
    <col min="12800" max="12800" width="57.28515625" customWidth="1"/>
    <col min="12801" max="12801" width="21" bestFit="1" customWidth="1"/>
    <col min="12802" max="12802" width="19.5703125" bestFit="1" customWidth="1"/>
    <col min="12803" max="12804" width="18.42578125" bestFit="1" customWidth="1"/>
    <col min="12805" max="12805" width="18.28515625" bestFit="1" customWidth="1"/>
    <col min="12806" max="12806" width="18.140625" bestFit="1" customWidth="1"/>
    <col min="13056" max="13056" width="57.28515625" customWidth="1"/>
    <col min="13057" max="13057" width="21" bestFit="1" customWidth="1"/>
    <col min="13058" max="13058" width="19.5703125" bestFit="1" customWidth="1"/>
    <col min="13059" max="13060" width="18.42578125" bestFit="1" customWidth="1"/>
    <col min="13061" max="13061" width="18.28515625" bestFit="1" customWidth="1"/>
    <col min="13062" max="13062" width="18.140625" bestFit="1" customWidth="1"/>
    <col min="13312" max="13312" width="57.28515625" customWidth="1"/>
    <col min="13313" max="13313" width="21" bestFit="1" customWidth="1"/>
    <col min="13314" max="13314" width="19.5703125" bestFit="1" customWidth="1"/>
    <col min="13315" max="13316" width="18.42578125" bestFit="1" customWidth="1"/>
    <col min="13317" max="13317" width="18.28515625" bestFit="1" customWidth="1"/>
    <col min="13318" max="13318" width="18.140625" bestFit="1" customWidth="1"/>
    <col min="13568" max="13568" width="57.28515625" customWidth="1"/>
    <col min="13569" max="13569" width="21" bestFit="1" customWidth="1"/>
    <col min="13570" max="13570" width="19.5703125" bestFit="1" customWidth="1"/>
    <col min="13571" max="13572" width="18.42578125" bestFit="1" customWidth="1"/>
    <col min="13573" max="13573" width="18.28515625" bestFit="1" customWidth="1"/>
    <col min="13574" max="13574" width="18.140625" bestFit="1" customWidth="1"/>
    <col min="13824" max="13824" width="57.28515625" customWidth="1"/>
    <col min="13825" max="13825" width="21" bestFit="1" customWidth="1"/>
    <col min="13826" max="13826" width="19.5703125" bestFit="1" customWidth="1"/>
    <col min="13827" max="13828" width="18.42578125" bestFit="1" customWidth="1"/>
    <col min="13829" max="13829" width="18.28515625" bestFit="1" customWidth="1"/>
    <col min="13830" max="13830" width="18.140625" bestFit="1" customWidth="1"/>
    <col min="14080" max="14080" width="57.28515625" customWidth="1"/>
    <col min="14081" max="14081" width="21" bestFit="1" customWidth="1"/>
    <col min="14082" max="14082" width="19.5703125" bestFit="1" customWidth="1"/>
    <col min="14083" max="14084" width="18.42578125" bestFit="1" customWidth="1"/>
    <col min="14085" max="14085" width="18.28515625" bestFit="1" customWidth="1"/>
    <col min="14086" max="14086" width="18.140625" bestFit="1" customWidth="1"/>
    <col min="14336" max="14336" width="57.28515625" customWidth="1"/>
    <col min="14337" max="14337" width="21" bestFit="1" customWidth="1"/>
    <col min="14338" max="14338" width="19.5703125" bestFit="1" customWidth="1"/>
    <col min="14339" max="14340" width="18.42578125" bestFit="1" customWidth="1"/>
    <col min="14341" max="14341" width="18.28515625" bestFit="1" customWidth="1"/>
    <col min="14342" max="14342" width="18.140625" bestFit="1" customWidth="1"/>
    <col min="14592" max="14592" width="57.28515625" customWidth="1"/>
    <col min="14593" max="14593" width="21" bestFit="1" customWidth="1"/>
    <col min="14594" max="14594" width="19.5703125" bestFit="1" customWidth="1"/>
    <col min="14595" max="14596" width="18.42578125" bestFit="1" customWidth="1"/>
    <col min="14597" max="14597" width="18.28515625" bestFit="1" customWidth="1"/>
    <col min="14598" max="14598" width="18.140625" bestFit="1" customWidth="1"/>
    <col min="14848" max="14848" width="57.28515625" customWidth="1"/>
    <col min="14849" max="14849" width="21" bestFit="1" customWidth="1"/>
    <col min="14850" max="14850" width="19.5703125" bestFit="1" customWidth="1"/>
    <col min="14851" max="14852" width="18.42578125" bestFit="1" customWidth="1"/>
    <col min="14853" max="14853" width="18.28515625" bestFit="1" customWidth="1"/>
    <col min="14854" max="14854" width="18.140625" bestFit="1" customWidth="1"/>
    <col min="15104" max="15104" width="57.28515625" customWidth="1"/>
    <col min="15105" max="15105" width="21" bestFit="1" customWidth="1"/>
    <col min="15106" max="15106" width="19.5703125" bestFit="1" customWidth="1"/>
    <col min="15107" max="15108" width="18.42578125" bestFit="1" customWidth="1"/>
    <col min="15109" max="15109" width="18.28515625" bestFit="1" customWidth="1"/>
    <col min="15110" max="15110" width="18.140625" bestFit="1" customWidth="1"/>
    <col min="15360" max="15360" width="57.28515625" customWidth="1"/>
    <col min="15361" max="15361" width="21" bestFit="1" customWidth="1"/>
    <col min="15362" max="15362" width="19.5703125" bestFit="1" customWidth="1"/>
    <col min="15363" max="15364" width="18.42578125" bestFit="1" customWidth="1"/>
    <col min="15365" max="15365" width="18.28515625" bestFit="1" customWidth="1"/>
    <col min="15366" max="15366" width="18.140625" bestFit="1" customWidth="1"/>
    <col min="15616" max="15616" width="57.28515625" customWidth="1"/>
    <col min="15617" max="15617" width="21" bestFit="1" customWidth="1"/>
    <col min="15618" max="15618" width="19.5703125" bestFit="1" customWidth="1"/>
    <col min="15619" max="15620" width="18.42578125" bestFit="1" customWidth="1"/>
    <col min="15621" max="15621" width="18.28515625" bestFit="1" customWidth="1"/>
    <col min="15622" max="15622" width="18.140625" bestFit="1" customWidth="1"/>
    <col min="15872" max="15872" width="57.28515625" customWidth="1"/>
    <col min="15873" max="15873" width="21" bestFit="1" customWidth="1"/>
    <col min="15874" max="15874" width="19.5703125" bestFit="1" customWidth="1"/>
    <col min="15875" max="15876" width="18.42578125" bestFit="1" customWidth="1"/>
    <col min="15877" max="15877" width="18.28515625" bestFit="1" customWidth="1"/>
    <col min="15878" max="15878" width="18.140625" bestFit="1" customWidth="1"/>
    <col min="16128" max="16128" width="57.28515625" customWidth="1"/>
    <col min="16129" max="16129" width="21" bestFit="1" customWidth="1"/>
    <col min="16130" max="16130" width="19.5703125" bestFit="1" customWidth="1"/>
    <col min="16131" max="16132" width="18.42578125" bestFit="1" customWidth="1"/>
    <col min="16133" max="16133" width="18.28515625" bestFit="1" customWidth="1"/>
    <col min="16134" max="16134" width="18.140625" bestFit="1" customWidth="1"/>
  </cols>
  <sheetData>
    <row r="1" spans="1:9" ht="15.75">
      <c r="A1" s="81" t="s">
        <v>368</v>
      </c>
      <c r="B1" s="82"/>
      <c r="C1" s="82"/>
      <c r="D1" s="82"/>
      <c r="E1" s="82"/>
      <c r="F1" s="82"/>
      <c r="G1" s="82"/>
    </row>
    <row r="2" spans="1:9" ht="15.75">
      <c r="A2" s="83"/>
      <c r="B2" s="84"/>
      <c r="C2" s="85"/>
    </row>
    <row r="3" spans="1:9" s="22" customFormat="1" ht="20.100000000000001" customHeight="1">
      <c r="A3" s="86" t="s">
        <v>363</v>
      </c>
      <c r="D3" s="139">
        <f>'Set-Up Worksheet'!F3</f>
        <v>2021</v>
      </c>
      <c r="E3" s="87"/>
      <c r="F3" s="87"/>
      <c r="G3" s="87"/>
    </row>
    <row r="4" spans="1:9" s="30" customFormat="1" ht="20.100000000000001" customHeight="1">
      <c r="A4" s="307" t="s">
        <v>367</v>
      </c>
      <c r="B4" s="89"/>
      <c r="C4" s="90" t="s">
        <v>183</v>
      </c>
      <c r="D4" s="90" t="s">
        <v>147</v>
      </c>
      <c r="E4" s="90" t="s">
        <v>148</v>
      </c>
      <c r="F4" s="90" t="s">
        <v>149</v>
      </c>
      <c r="G4" s="90" t="s">
        <v>150</v>
      </c>
    </row>
    <row r="5" spans="1:9" s="22" customFormat="1" ht="15" customHeight="1">
      <c r="A5" s="88" t="s">
        <v>151</v>
      </c>
      <c r="C5" s="91" t="s">
        <v>152</v>
      </c>
      <c r="D5" s="308" t="str">
        <f>"Jul - Sep "&amp;$D$3-1</f>
        <v>Jul - Sep 2020</v>
      </c>
      <c r="E5" s="308" t="str">
        <f>"Oct - Dec "&amp;$D$3-1</f>
        <v>Oct - Dec 2020</v>
      </c>
      <c r="F5" s="308" t="str">
        <f>"Jan - Mar "&amp;$D$3</f>
        <v>Jan - Mar 2021</v>
      </c>
      <c r="G5" s="308" t="str">
        <f>"Apr - Jun "&amp;$D$3</f>
        <v>Apr - Jun 2021</v>
      </c>
    </row>
    <row r="6" spans="1:9" s="22" customFormat="1" ht="15" customHeight="1">
      <c r="A6" s="307" t="s">
        <v>366</v>
      </c>
      <c r="C6" s="311" t="s">
        <v>379</v>
      </c>
      <c r="D6" s="286" t="str">
        <f>"Nov 17, "&amp;$D$3-1</f>
        <v>Nov 17, 2020</v>
      </c>
      <c r="E6" s="92" t="str">
        <f>"Feb 17, "&amp;$D$3</f>
        <v>Feb 17, 2021</v>
      </c>
      <c r="F6" s="294" t="str">
        <f>"May 17, "&amp;$D$3</f>
        <v>May 17, 2021</v>
      </c>
      <c r="G6" s="92" t="str">
        <f>"Aug 17, "&amp;$D$3</f>
        <v>Aug 17, 2021</v>
      </c>
    </row>
    <row r="7" spans="1:9" s="22" customFormat="1" ht="15" customHeight="1">
      <c r="A7" s="88" t="s">
        <v>153</v>
      </c>
      <c r="C7" s="93" t="s">
        <v>154</v>
      </c>
      <c r="D7" s="94" t="str">
        <f>"Nov 30, "&amp;$D$3-1</f>
        <v>Nov 30, 2020</v>
      </c>
      <c r="E7" s="94" t="str">
        <f>IF(OR($D$3=2012,$D$3=2016,$D$3=2020,$D$3=2024),"Feb 29, ","Feb 28, ")&amp;$D$3</f>
        <v>Feb 28, 2021</v>
      </c>
      <c r="F7" s="94" t="str">
        <f>"May 31, "&amp;$D$3</f>
        <v>May 31, 2021</v>
      </c>
      <c r="G7" s="94" t="str">
        <f>"Aug 31, "&amp;$D$3</f>
        <v>Aug 31, 2021</v>
      </c>
    </row>
    <row r="8" spans="1:9" s="22" customFormat="1" ht="15" customHeight="1">
      <c r="C8" s="95"/>
      <c r="D8" s="96"/>
      <c r="E8" s="96"/>
      <c r="F8" s="96"/>
      <c r="G8" s="96"/>
      <c r="I8" s="444"/>
    </row>
    <row r="9" spans="1:9" s="22" customFormat="1" ht="20.100000000000001" customHeight="1">
      <c r="A9" s="90" t="s">
        <v>155</v>
      </c>
      <c r="B9" s="90" t="s">
        <v>156</v>
      </c>
      <c r="C9" s="90" t="s">
        <v>146</v>
      </c>
      <c r="D9" s="97" t="s">
        <v>182</v>
      </c>
      <c r="E9" s="98"/>
      <c r="F9" s="98"/>
      <c r="G9" s="99"/>
      <c r="I9" s="444"/>
    </row>
    <row r="10" spans="1:9" s="22" customFormat="1" ht="15" customHeight="1">
      <c r="A10" s="100" t="s">
        <v>275</v>
      </c>
      <c r="B10" s="101" t="s">
        <v>160</v>
      </c>
      <c r="C10" s="93" t="s">
        <v>161</v>
      </c>
      <c r="D10" s="108" t="str">
        <f>"Jul - Sep "&amp;$D$3-1</f>
        <v>Jul - Sep 2020</v>
      </c>
      <c r="E10" s="108" t="str">
        <f>"Oct - Dec "&amp;$D$3-1</f>
        <v>Oct - Dec 2020</v>
      </c>
      <c r="F10" s="108" t="str">
        <f>"Jan - Mar "&amp;$D$3</f>
        <v>Jan - Mar 2021</v>
      </c>
      <c r="G10" s="108" t="str">
        <f>"Apr - Jun "&amp;$D$3</f>
        <v>Apr - Jun 2021</v>
      </c>
      <c r="I10" s="145"/>
    </row>
    <row r="11" spans="1:9" s="22" customFormat="1" ht="15" customHeight="1">
      <c r="A11" s="102" t="s">
        <v>460</v>
      </c>
      <c r="B11" s="103"/>
      <c r="C11" s="91" t="s">
        <v>162</v>
      </c>
      <c r="D11" s="104" t="str">
        <f>"Oct 30, "&amp;$D$3-1</f>
        <v>Oct 30, 2020</v>
      </c>
      <c r="E11" s="104" t="str">
        <f>"Jan 30, "&amp;$D$3</f>
        <v>Jan 30, 2021</v>
      </c>
      <c r="F11" s="104" t="str">
        <f>"Apr 30, "&amp;$D$3</f>
        <v>Apr 30, 2021</v>
      </c>
      <c r="G11" s="104" t="str">
        <f>"Jul 30, "&amp;$D$3</f>
        <v>Jul 30, 2021</v>
      </c>
      <c r="I11" s="145"/>
    </row>
    <row r="12" spans="1:9" s="22" customFormat="1" ht="15" customHeight="1" thickBot="1">
      <c r="A12" s="102"/>
      <c r="B12" s="105"/>
      <c r="C12" s="91" t="s">
        <v>158</v>
      </c>
      <c r="D12" s="106" t="s">
        <v>159</v>
      </c>
      <c r="E12" s="107" t="s">
        <v>159</v>
      </c>
      <c r="F12" s="107" t="s">
        <v>159</v>
      </c>
      <c r="G12" s="107" t="s">
        <v>159</v>
      </c>
      <c r="I12" s="145"/>
    </row>
    <row r="13" spans="1:9" s="22" customFormat="1" ht="15" customHeight="1" thickTop="1">
      <c r="A13" s="113" t="s">
        <v>276</v>
      </c>
      <c r="B13" s="101" t="s">
        <v>167</v>
      </c>
      <c r="C13" s="110" t="s">
        <v>163</v>
      </c>
      <c r="D13" s="111" t="str">
        <f>"Apr - Jun "&amp;$D$3-1</f>
        <v>Apr - Jun 2020</v>
      </c>
      <c r="E13" s="111" t="str">
        <f>"Jul - Sep "&amp;$D$3-1</f>
        <v>Jul - Sep 2020</v>
      </c>
      <c r="F13" s="111" t="str">
        <f>"Oct - Dec "&amp;$D$3-1</f>
        <v>Oct - Dec 2020</v>
      </c>
      <c r="G13" s="111" t="str">
        <f>"Jan - Mar "&amp;$D$3</f>
        <v>Jan - Mar 2021</v>
      </c>
    </row>
    <row r="14" spans="1:9" s="22" customFormat="1" ht="15" customHeight="1">
      <c r="A14" s="114" t="s">
        <v>278</v>
      </c>
      <c r="B14" s="101"/>
      <c r="C14" s="91" t="s">
        <v>164</v>
      </c>
      <c r="D14" s="112" t="str">
        <f>"Oct 31, "&amp;$D$3-1</f>
        <v>Oct 31, 2020</v>
      </c>
      <c r="E14" s="112" t="str">
        <f>"Jan 31, "&amp;$D$3</f>
        <v>Jan 31, 2021</v>
      </c>
      <c r="F14" s="112" t="str">
        <f>"Apr 30, "&amp;$D$3</f>
        <v>Apr 30, 2021</v>
      </c>
      <c r="G14" s="112" t="str">
        <f>"Jul 31, "&amp;$D$3</f>
        <v>Jul 31, 2021</v>
      </c>
    </row>
    <row r="15" spans="1:9" s="22" customFormat="1" ht="15" customHeight="1" thickBot="1">
      <c r="A15" s="102" t="s">
        <v>277</v>
      </c>
      <c r="B15" s="115"/>
      <c r="C15" s="91" t="s">
        <v>165</v>
      </c>
      <c r="D15" s="106" t="s">
        <v>166</v>
      </c>
      <c r="E15" s="106" t="s">
        <v>166</v>
      </c>
      <c r="F15" s="106" t="s">
        <v>166</v>
      </c>
      <c r="G15" s="106" t="s">
        <v>166</v>
      </c>
    </row>
    <row r="16" spans="1:9" s="22" customFormat="1" ht="15" customHeight="1" thickTop="1">
      <c r="A16" s="113" t="s">
        <v>279</v>
      </c>
      <c r="B16" s="116" t="s">
        <v>167</v>
      </c>
      <c r="C16" s="110" t="s">
        <v>163</v>
      </c>
      <c r="D16" s="111" t="str">
        <f>"Apr - Jun "&amp;$D$3-1</f>
        <v>Apr - Jun 2020</v>
      </c>
      <c r="E16" s="111" t="str">
        <f>"Jul - Sep "&amp;$D$3-1</f>
        <v>Jul - Sep 2020</v>
      </c>
      <c r="F16" s="111" t="str">
        <f>"Oct - Dec "&amp;$D$3-1</f>
        <v>Oct - Dec 2020</v>
      </c>
      <c r="G16" s="111" t="str">
        <f>"Jan - Mar "&amp;$D$3</f>
        <v>Jan - Mar 2021</v>
      </c>
    </row>
    <row r="17" spans="1:9" s="22" customFormat="1" ht="15" customHeight="1">
      <c r="A17" s="102" t="s">
        <v>280</v>
      </c>
      <c r="B17" s="103"/>
      <c r="C17" s="91" t="s">
        <v>164</v>
      </c>
      <c r="D17" s="112" t="str">
        <f>"Oct 31, "&amp;$D$3-1</f>
        <v>Oct 31, 2020</v>
      </c>
      <c r="E17" s="112" t="str">
        <f>"Jan 31, "&amp;$D$3</f>
        <v>Jan 31, 2021</v>
      </c>
      <c r="F17" s="112" t="str">
        <f>"Apr 30, "&amp;$D$3</f>
        <v>Apr 30, 2021</v>
      </c>
      <c r="G17" s="112" t="str">
        <f>"Jul 31, "&amp;$D$3</f>
        <v>Jul 31, 2021</v>
      </c>
    </row>
    <row r="18" spans="1:9" s="22" customFormat="1" ht="15" customHeight="1" thickBot="1">
      <c r="A18" s="102" t="s">
        <v>281</v>
      </c>
      <c r="B18" s="115"/>
      <c r="C18" s="91" t="s">
        <v>165</v>
      </c>
      <c r="D18" s="106" t="s">
        <v>168</v>
      </c>
      <c r="E18" s="106" t="s">
        <v>168</v>
      </c>
      <c r="F18" s="106" t="s">
        <v>168</v>
      </c>
      <c r="G18" s="106" t="s">
        <v>168</v>
      </c>
    </row>
    <row r="19" spans="1:9" s="22" customFormat="1" ht="15" customHeight="1" thickTop="1">
      <c r="A19" s="117" t="s">
        <v>282</v>
      </c>
      <c r="B19" s="116" t="s">
        <v>169</v>
      </c>
      <c r="C19" s="118" t="s">
        <v>161</v>
      </c>
      <c r="D19" s="108" t="str">
        <f>"Jul - Sep "&amp;$D$3-1</f>
        <v>Jul - Sep 2020</v>
      </c>
      <c r="E19" s="108" t="str">
        <f>"Oct - Dec "&amp;$D$3-1</f>
        <v>Oct - Dec 2020</v>
      </c>
      <c r="F19" s="108" t="str">
        <f>"Jan - Mar "&amp;$D$3</f>
        <v>Jan - Mar 2021</v>
      </c>
      <c r="G19" s="108" t="str">
        <f>"Apr - Jun "&amp;$D$3</f>
        <v>Apr - Jun 2021</v>
      </c>
      <c r="I19" s="145"/>
    </row>
    <row r="20" spans="1:9" s="22" customFormat="1" ht="15" customHeight="1">
      <c r="A20" s="102" t="s">
        <v>283</v>
      </c>
      <c r="B20" s="219" t="s">
        <v>170</v>
      </c>
      <c r="C20" s="91" t="s">
        <v>157</v>
      </c>
      <c r="D20" s="112" t="str">
        <f>"Oct 31, "&amp;$D$3-1</f>
        <v>Oct 31, 2020</v>
      </c>
      <c r="E20" s="112" t="str">
        <f>"Jan 31, "&amp;$D$3</f>
        <v>Jan 31, 2021</v>
      </c>
      <c r="F20" s="112" t="str">
        <f>"Apr 30, "&amp;$D$3</f>
        <v>Apr 30, 2021</v>
      </c>
      <c r="G20" s="112" t="str">
        <f>"Jul 31, "&amp;$D$3</f>
        <v>Jul 31, 2021</v>
      </c>
      <c r="I20" s="145"/>
    </row>
    <row r="21" spans="1:9" s="22" customFormat="1" ht="15" customHeight="1" thickBot="1">
      <c r="A21" s="101" t="s">
        <v>171</v>
      </c>
      <c r="B21" s="103"/>
      <c r="C21" s="91" t="s">
        <v>172</v>
      </c>
      <c r="D21" s="106" t="s">
        <v>173</v>
      </c>
      <c r="E21" s="106" t="s">
        <v>173</v>
      </c>
      <c r="F21" s="106" t="s">
        <v>173</v>
      </c>
      <c r="G21" s="106" t="s">
        <v>173</v>
      </c>
      <c r="I21" s="145"/>
    </row>
    <row r="22" spans="1:9" s="22" customFormat="1" ht="15" customHeight="1" thickTop="1">
      <c r="A22" s="109" t="s">
        <v>284</v>
      </c>
      <c r="B22" s="116" t="s">
        <v>174</v>
      </c>
      <c r="C22" s="110" t="s">
        <v>163</v>
      </c>
      <c r="D22" s="111" t="str">
        <f>"Apr - Jun "&amp;$D$3-1</f>
        <v>Apr - Jun 2020</v>
      </c>
      <c r="E22" s="111" t="str">
        <f>"Jul - Sep "&amp;$D$3-1</f>
        <v>Jul - Sep 2020</v>
      </c>
      <c r="F22" s="111" t="str">
        <f>"Oct - Dec "&amp;$D$3-1</f>
        <v>Oct - Dec 2020</v>
      </c>
      <c r="G22" s="111" t="str">
        <f>"Jan - Mar "&amp;$D$3</f>
        <v>Jan - Mar 2021</v>
      </c>
      <c r="I22" s="145"/>
    </row>
    <row r="23" spans="1:9" s="22" customFormat="1" ht="15" customHeight="1">
      <c r="A23" s="219" t="s">
        <v>175</v>
      </c>
      <c r="B23" s="101"/>
      <c r="C23" s="47" t="s">
        <v>157</v>
      </c>
      <c r="D23" s="112" t="str">
        <f>"Oct 31, "&amp;$D$3-1</f>
        <v>Oct 31, 2020</v>
      </c>
      <c r="E23" s="112" t="str">
        <f>"Jan 31, "&amp;$D$3</f>
        <v>Jan 31, 2021</v>
      </c>
      <c r="F23" s="112" t="str">
        <f>"Apr 30, "&amp;$D$3</f>
        <v>Apr 30, 2021</v>
      </c>
      <c r="G23" s="112" t="str">
        <f>"Jul 31, "&amp;$D$3</f>
        <v>Jul 31, 2021</v>
      </c>
      <c r="I23" s="145"/>
    </row>
    <row r="24" spans="1:9" s="22" customFormat="1" ht="15" customHeight="1" thickBot="1">
      <c r="A24" s="102"/>
      <c r="B24" s="105"/>
      <c r="C24" s="47" t="s">
        <v>158</v>
      </c>
      <c r="D24" s="106" t="s">
        <v>166</v>
      </c>
      <c r="E24" s="106" t="s">
        <v>166</v>
      </c>
      <c r="F24" s="106" t="s">
        <v>166</v>
      </c>
      <c r="G24" s="106" t="s">
        <v>166</v>
      </c>
      <c r="I24" s="145"/>
    </row>
    <row r="25" spans="1:9" ht="15" customHeight="1" thickTop="1">
      <c r="A25" s="119" t="s">
        <v>285</v>
      </c>
      <c r="B25" s="120" t="s">
        <v>167</v>
      </c>
      <c r="C25" s="110" t="s">
        <v>163</v>
      </c>
      <c r="D25" s="111" t="str">
        <f>"Apr - Jun "&amp;$D$3-1</f>
        <v>Apr - Jun 2020</v>
      </c>
      <c r="E25" s="111" t="str">
        <f>"Jul - Sep "&amp;$D$3-1</f>
        <v>Jul - Sep 2020</v>
      </c>
      <c r="F25" s="111" t="str">
        <f>"Oct - Dec "&amp;$D$3-1</f>
        <v>Oct - Dec 2020</v>
      </c>
      <c r="G25" s="111" t="str">
        <f>"Jan - Mar "&amp;$D$3</f>
        <v>Jan - Mar 2021</v>
      </c>
    </row>
    <row r="26" spans="1:9" ht="15" customHeight="1">
      <c r="A26" s="121" t="s">
        <v>286</v>
      </c>
      <c r="B26" s="122"/>
      <c r="C26" s="91" t="s">
        <v>164</v>
      </c>
      <c r="D26" s="112" t="str">
        <f>"Oct 31, "&amp;$D$3-1</f>
        <v>Oct 31, 2020</v>
      </c>
      <c r="E26" s="112" t="str">
        <f>"Jan 31, "&amp;$D$3</f>
        <v>Jan 31, 2021</v>
      </c>
      <c r="F26" s="112" t="str">
        <f>"Apr 30, "&amp;$D$3</f>
        <v>Apr 30, 2021</v>
      </c>
      <c r="G26" s="112" t="str">
        <f>"Jul 31, "&amp;$D$3</f>
        <v>Jul 31, 2021</v>
      </c>
    </row>
    <row r="27" spans="1:9" ht="15" customHeight="1" thickBot="1">
      <c r="A27" s="123"/>
      <c r="B27" s="124"/>
      <c r="C27" s="91" t="s">
        <v>165</v>
      </c>
      <c r="D27" s="106" t="s">
        <v>166</v>
      </c>
      <c r="E27" s="106" t="s">
        <v>166</v>
      </c>
      <c r="F27" s="106" t="s">
        <v>166</v>
      </c>
      <c r="G27" s="106" t="s">
        <v>166</v>
      </c>
    </row>
    <row r="28" spans="1:9" ht="15" customHeight="1" thickTop="1">
      <c r="A28" s="119" t="s">
        <v>287</v>
      </c>
      <c r="B28" s="120" t="s">
        <v>167</v>
      </c>
      <c r="C28" s="110" t="s">
        <v>163</v>
      </c>
      <c r="D28" s="111" t="str">
        <f>"Apr - Jun "&amp;$D$3-1</f>
        <v>Apr - Jun 2020</v>
      </c>
      <c r="E28" s="111" t="str">
        <f>"Jul - Sep "&amp;$D$3-1</f>
        <v>Jul - Sep 2020</v>
      </c>
      <c r="F28" s="111" t="str">
        <f>"Oct - Dec "&amp;$D$3-1</f>
        <v>Oct - Dec 2020</v>
      </c>
      <c r="G28" s="111" t="str">
        <f>"Jan - Mar "&amp;$D$3</f>
        <v>Jan - Mar 2021</v>
      </c>
    </row>
    <row r="29" spans="1:9" ht="15" customHeight="1">
      <c r="A29" s="121"/>
      <c r="B29" s="122"/>
      <c r="C29" s="91" t="s">
        <v>164</v>
      </c>
      <c r="D29" s="112" t="str">
        <f>"Oct 31, "&amp;$D$3-1</f>
        <v>Oct 31, 2020</v>
      </c>
      <c r="E29" s="112" t="str">
        <f>"Jan 31, "&amp;$D$3</f>
        <v>Jan 31, 2021</v>
      </c>
      <c r="F29" s="112" t="str">
        <f>"Apr 30, "&amp;$D$3</f>
        <v>Apr 30, 2021</v>
      </c>
      <c r="G29" s="112" t="str">
        <f>"Jul 31, "&amp;$D$3</f>
        <v>Jul 31, 2021</v>
      </c>
    </row>
    <row r="30" spans="1:9" ht="15" customHeight="1" thickBot="1">
      <c r="A30" s="123"/>
      <c r="B30" s="124"/>
      <c r="C30" s="91" t="s">
        <v>165</v>
      </c>
      <c r="D30" s="126" t="s">
        <v>176</v>
      </c>
      <c r="E30" s="106" t="s">
        <v>176</v>
      </c>
      <c r="F30" s="106" t="s">
        <v>176</v>
      </c>
      <c r="G30" s="106" t="s">
        <v>176</v>
      </c>
    </row>
    <row r="31" spans="1:9" ht="15" customHeight="1" thickTop="1">
      <c r="A31" s="119" t="s">
        <v>288</v>
      </c>
      <c r="B31" s="220" t="s">
        <v>169</v>
      </c>
      <c r="C31" s="110" t="s">
        <v>163</v>
      </c>
      <c r="D31" s="111" t="str">
        <f>"Apr - Jun "&amp;$D$3-1</f>
        <v>Apr - Jun 2020</v>
      </c>
      <c r="E31" s="111" t="str">
        <f>"Jul - Sep "&amp;$D$3-1</f>
        <v>Jul - Sep 2020</v>
      </c>
      <c r="F31" s="111" t="str">
        <f>"Oct - Dec "&amp;$D$3-1</f>
        <v>Oct - Dec 2020</v>
      </c>
      <c r="G31" s="111" t="str">
        <f>"Jan - Mar "&amp;$D$3</f>
        <v>Jan - Mar 2021</v>
      </c>
      <c r="I31" s="145"/>
    </row>
    <row r="32" spans="1:9" ht="15" customHeight="1">
      <c r="A32" s="121" t="s">
        <v>290</v>
      </c>
      <c r="B32" s="221" t="s">
        <v>170</v>
      </c>
      <c r="C32" s="91" t="s">
        <v>164</v>
      </c>
      <c r="D32" s="112" t="str">
        <f>"Oct 31, "&amp;$D$3-1</f>
        <v>Oct 31, 2020</v>
      </c>
      <c r="E32" s="112" t="str">
        <f>"Jan 31, "&amp;$D$3</f>
        <v>Jan 31, 2021</v>
      </c>
      <c r="F32" s="112" t="str">
        <f>"Apr 30, "&amp;$D$3</f>
        <v>Apr 30, 2021</v>
      </c>
      <c r="G32" s="112" t="str">
        <f>"Jul 31, "&amp;$D$3</f>
        <v>Jul 31, 2021</v>
      </c>
      <c r="I32" s="145"/>
    </row>
    <row r="33" spans="1:9" ht="15" customHeight="1" thickBot="1">
      <c r="A33" s="121"/>
      <c r="B33" s="124"/>
      <c r="C33" s="91" t="s">
        <v>165</v>
      </c>
      <c r="D33" s="126" t="s">
        <v>176</v>
      </c>
      <c r="E33" s="106" t="s">
        <v>176</v>
      </c>
      <c r="F33" s="106" t="s">
        <v>176</v>
      </c>
      <c r="G33" s="106" t="s">
        <v>176</v>
      </c>
      <c r="I33" s="145"/>
    </row>
    <row r="34" spans="1:9" ht="15" customHeight="1" thickTop="1">
      <c r="A34" s="119" t="s">
        <v>292</v>
      </c>
      <c r="B34" s="120" t="s">
        <v>169</v>
      </c>
      <c r="C34" s="110" t="s">
        <v>177</v>
      </c>
      <c r="D34" s="127" t="str">
        <f>"Jan - Mar "&amp;$D$3-1</f>
        <v>Jan - Mar 2020</v>
      </c>
      <c r="E34" s="127" t="str">
        <f>"Apr - Jun "&amp;$D$3-1</f>
        <v>Apr - Jun 2020</v>
      </c>
      <c r="F34" s="127" t="str">
        <f>"Jul - Sep "&amp;$D$3-1</f>
        <v>Jul - Sep 2020</v>
      </c>
      <c r="G34" s="127" t="str">
        <f>"Oct - Dec "&amp;$D$3-1</f>
        <v>Oct - Dec 2020</v>
      </c>
      <c r="I34" s="145"/>
    </row>
    <row r="35" spans="1:9" ht="15" customHeight="1">
      <c r="A35" s="121" t="s">
        <v>291</v>
      </c>
      <c r="B35" s="219" t="s">
        <v>170</v>
      </c>
      <c r="C35" s="91" t="s">
        <v>157</v>
      </c>
      <c r="D35" s="112" t="str">
        <f>"Oct 31, "&amp;$D$3-1</f>
        <v>Oct 31, 2020</v>
      </c>
      <c r="E35" s="112" t="str">
        <f>"Jan 31, "&amp;$D$3</f>
        <v>Jan 31, 2021</v>
      </c>
      <c r="F35" s="112" t="str">
        <f>"Apr 30, "&amp;$D$3</f>
        <v>Apr 30, 2021</v>
      </c>
      <c r="G35" s="112" t="str">
        <f>"Jul 31, "&amp;$D$3</f>
        <v>Jul 31, 2021</v>
      </c>
      <c r="I35" s="145"/>
    </row>
    <row r="36" spans="1:9" ht="15" customHeight="1" thickBot="1">
      <c r="A36" s="128"/>
      <c r="B36" s="129"/>
      <c r="C36" s="130" t="s">
        <v>178</v>
      </c>
      <c r="D36" s="107" t="s">
        <v>173</v>
      </c>
      <c r="E36" s="107" t="s">
        <v>173</v>
      </c>
      <c r="F36" s="107" t="s">
        <v>173</v>
      </c>
      <c r="G36" s="107" t="s">
        <v>173</v>
      </c>
      <c r="I36" s="145"/>
    </row>
    <row r="37" spans="1:9" ht="15" customHeight="1" thickTop="1">
      <c r="A37" s="119" t="s">
        <v>289</v>
      </c>
      <c r="B37" s="120" t="s">
        <v>167</v>
      </c>
      <c r="C37" s="110" t="s">
        <v>163</v>
      </c>
      <c r="D37" s="111" t="str">
        <f>"Apr - Jun "&amp;$D$3-1</f>
        <v>Apr - Jun 2020</v>
      </c>
      <c r="E37" s="111" t="str">
        <f>"Jul - Sep "&amp;$D$3-1</f>
        <v>Jul - Sep 2020</v>
      </c>
      <c r="F37" s="111" t="str">
        <f>"Oct - Dec "&amp;$D$3-1</f>
        <v>Oct - Dec 2020</v>
      </c>
      <c r="G37" s="111" t="str">
        <f>"Jan - Mar "&amp;$D$3</f>
        <v>Jan - Mar 2021</v>
      </c>
    </row>
    <row r="38" spans="1:9" ht="15" customHeight="1">
      <c r="A38" s="121" t="s">
        <v>293</v>
      </c>
      <c r="B38" s="122"/>
      <c r="C38" s="91" t="s">
        <v>164</v>
      </c>
      <c r="D38" s="112" t="str">
        <f>"Oct 31, "&amp;$D$3-1</f>
        <v>Oct 31, 2020</v>
      </c>
      <c r="E38" s="112" t="str">
        <f>"Jan 31, "&amp;$D$3</f>
        <v>Jan 31, 2021</v>
      </c>
      <c r="F38" s="112" t="str">
        <f>"Apr 30, "&amp;$D$3</f>
        <v>Apr 30, 2021</v>
      </c>
      <c r="G38" s="112" t="str">
        <f>"Jul 31, "&amp;$D$3</f>
        <v>Jul 31, 2021</v>
      </c>
    </row>
    <row r="39" spans="1:9" ht="15" customHeight="1" thickBot="1">
      <c r="A39" s="121"/>
      <c r="B39" s="124"/>
      <c r="C39" s="91" t="s">
        <v>165</v>
      </c>
      <c r="D39" s="126" t="s">
        <v>176</v>
      </c>
      <c r="E39" s="106" t="s">
        <v>176</v>
      </c>
      <c r="F39" s="106" t="s">
        <v>176</v>
      </c>
      <c r="G39" s="106" t="s">
        <v>176</v>
      </c>
    </row>
    <row r="40" spans="1:9" ht="15" customHeight="1" thickTop="1">
      <c r="A40" s="125" t="s">
        <v>294</v>
      </c>
      <c r="B40" s="120" t="s">
        <v>169</v>
      </c>
      <c r="C40" s="110" t="s">
        <v>163</v>
      </c>
      <c r="D40" s="111" t="str">
        <f>"Apr - Jun "&amp;$D$3-1</f>
        <v>Apr - Jun 2020</v>
      </c>
      <c r="E40" s="111" t="str">
        <f>"Jul - Sep "&amp;$D$3-1</f>
        <v>Jul - Sep 2020</v>
      </c>
      <c r="F40" s="111" t="str">
        <f>"Oct - Dec "&amp;$D$3-1</f>
        <v>Oct - Dec 2020</v>
      </c>
      <c r="G40" s="111" t="str">
        <f>"Jan - Mar "&amp;$D$3</f>
        <v>Jan - Mar 2021</v>
      </c>
    </row>
    <row r="41" spans="1:9" ht="15" customHeight="1">
      <c r="A41" s="121" t="s">
        <v>295</v>
      </c>
      <c r="B41" s="122" t="s">
        <v>167</v>
      </c>
      <c r="C41" s="91" t="s">
        <v>164</v>
      </c>
      <c r="D41" s="112" t="str">
        <f>"Oct 31, "&amp;$D$3-1</f>
        <v>Oct 31, 2020</v>
      </c>
      <c r="E41" s="112" t="str">
        <f>"Jan 31, "&amp;$D$3</f>
        <v>Jan 31, 2021</v>
      </c>
      <c r="F41" s="112" t="str">
        <f>"Apr 30, "&amp;$D$3</f>
        <v>Apr 30, 2021</v>
      </c>
      <c r="G41" s="112" t="str">
        <f>"Jul 31, "&amp;$D$3</f>
        <v>Jul 31, 2021</v>
      </c>
    </row>
    <row r="42" spans="1:9" ht="15" customHeight="1" thickBot="1">
      <c r="A42" s="121" t="s">
        <v>296</v>
      </c>
      <c r="B42" s="124"/>
      <c r="C42" s="91" t="s">
        <v>165</v>
      </c>
      <c r="D42" s="106" t="s">
        <v>166</v>
      </c>
      <c r="E42" s="106" t="s">
        <v>166</v>
      </c>
      <c r="F42" s="106" t="s">
        <v>166</v>
      </c>
      <c r="G42" s="106" t="s">
        <v>166</v>
      </c>
    </row>
    <row r="43" spans="1:9" ht="15" customHeight="1" thickTop="1">
      <c r="A43" s="119" t="s">
        <v>297</v>
      </c>
      <c r="B43" s="131" t="s">
        <v>167</v>
      </c>
      <c r="C43" s="110" t="s">
        <v>163</v>
      </c>
      <c r="D43" s="111" t="str">
        <f>"Apr - Jun "&amp;$D$3-1</f>
        <v>Apr - Jun 2020</v>
      </c>
      <c r="E43" s="111" t="str">
        <f>"Jul - Sep "&amp;$D$3-1</f>
        <v>Jul - Sep 2020</v>
      </c>
      <c r="F43" s="111" t="str">
        <f>"Oct - Dec "&amp;$D$3-1</f>
        <v>Oct - Dec 2020</v>
      </c>
      <c r="G43" s="111" t="str">
        <f>"Jan - Mar "&amp;$D$3</f>
        <v>Jan - Mar 2021</v>
      </c>
    </row>
    <row r="44" spans="1:9" ht="15" customHeight="1">
      <c r="A44" s="121" t="s">
        <v>298</v>
      </c>
      <c r="B44" s="132"/>
      <c r="C44" s="91" t="s">
        <v>164</v>
      </c>
      <c r="D44" s="112" t="str">
        <f>"Oct 31, "&amp;$D$3-1</f>
        <v>Oct 31, 2020</v>
      </c>
      <c r="E44" s="112" t="str">
        <f>"Jan 31, "&amp;$D$3</f>
        <v>Jan 31, 2021</v>
      </c>
      <c r="F44" s="112" t="str">
        <f>"Apr 30, "&amp;$D$3</f>
        <v>Apr 30, 2021</v>
      </c>
      <c r="G44" s="112" t="str">
        <f>"Jul 31, "&amp;$D$3</f>
        <v>Jul 31, 2021</v>
      </c>
    </row>
    <row r="45" spans="1:9" ht="15" customHeight="1" thickBot="1">
      <c r="A45" s="133"/>
      <c r="B45" s="124"/>
      <c r="C45" s="91" t="s">
        <v>165</v>
      </c>
      <c r="D45" s="106" t="s">
        <v>166</v>
      </c>
      <c r="E45" s="106" t="s">
        <v>166</v>
      </c>
      <c r="F45" s="106" t="s">
        <v>166</v>
      </c>
      <c r="G45" s="106" t="s">
        <v>166</v>
      </c>
    </row>
    <row r="46" spans="1:9" ht="15" customHeight="1" thickTop="1">
      <c r="A46" s="119" t="s">
        <v>299</v>
      </c>
      <c r="B46" s="131" t="s">
        <v>167</v>
      </c>
      <c r="C46" s="110" t="s">
        <v>163</v>
      </c>
      <c r="D46" s="111" t="str">
        <f>"Apr - Jun "&amp;$D$3-1</f>
        <v>Apr - Jun 2020</v>
      </c>
      <c r="E46" s="111" t="str">
        <f>"Jul - Sep "&amp;$D$3-1</f>
        <v>Jul - Sep 2020</v>
      </c>
      <c r="F46" s="111" t="str">
        <f>"Oct - Dec "&amp;$D$3-1</f>
        <v>Oct - Dec 2020</v>
      </c>
      <c r="G46" s="111" t="str">
        <f>"Jan - Mar "&amp;$D$3</f>
        <v>Jan - Mar 2021</v>
      </c>
    </row>
    <row r="47" spans="1:9" ht="15" customHeight="1">
      <c r="A47" s="121"/>
      <c r="B47" s="132"/>
      <c r="C47" s="91" t="s">
        <v>164</v>
      </c>
      <c r="D47" s="112" t="str">
        <f>"Oct 31, "&amp;$D$3-1</f>
        <v>Oct 31, 2020</v>
      </c>
      <c r="E47" s="112" t="str">
        <f>"Jan 31, "&amp;$D$3</f>
        <v>Jan 31, 2021</v>
      </c>
      <c r="F47" s="112" t="str">
        <f>"Apr 30, "&amp;$D$3</f>
        <v>Apr 30, 2021</v>
      </c>
      <c r="G47" s="112" t="str">
        <f>"Jul 31, "&amp;$D$3</f>
        <v>Jul 31, 2021</v>
      </c>
    </row>
    <row r="48" spans="1:9" ht="15" customHeight="1" thickBot="1">
      <c r="A48" s="133"/>
      <c r="B48" s="124"/>
      <c r="C48" s="91" t="s">
        <v>165</v>
      </c>
      <c r="D48" s="134" t="s">
        <v>166</v>
      </c>
      <c r="E48" s="134" t="s">
        <v>166</v>
      </c>
      <c r="F48" s="134" t="s">
        <v>166</v>
      </c>
      <c r="G48" s="134" t="s">
        <v>166</v>
      </c>
    </row>
    <row r="49" spans="1:9" ht="15" customHeight="1" thickTop="1">
      <c r="A49" s="119" t="s">
        <v>300</v>
      </c>
      <c r="B49" s="131" t="s">
        <v>179</v>
      </c>
      <c r="C49" s="110" t="s">
        <v>180</v>
      </c>
      <c r="D49" s="135" t="str">
        <f>"Jul "&amp;$D$3-2&amp;" - Jun "&amp;$D$3-1</f>
        <v>Jul 2019 - Jun 2020</v>
      </c>
      <c r="E49" s="135" t="str">
        <f>"Oct "&amp;$D$3-2&amp;" - Sep "&amp;$D$3-1</f>
        <v>Oct 2019 - Sep 2020</v>
      </c>
      <c r="F49" s="135" t="str">
        <f>"Jan "&amp;$D$3-1&amp;" - Dec "&amp;$D$3-1</f>
        <v>Jan 2020 - Dec 2020</v>
      </c>
      <c r="G49" s="135" t="str">
        <f>"Apr "&amp;$D$3-1&amp;" - Mar "&amp;$D$3</f>
        <v>Apr 2020 - Mar 2021</v>
      </c>
      <c r="I49" s="145"/>
    </row>
    <row r="50" spans="1:9" ht="15" customHeight="1">
      <c r="A50" s="123"/>
      <c r="B50" s="122" t="s">
        <v>167</v>
      </c>
      <c r="C50" s="91" t="s">
        <v>164</v>
      </c>
      <c r="D50" s="112" t="str">
        <f>"Oct 31, "&amp;$D$3-1</f>
        <v>Oct 31, 2020</v>
      </c>
      <c r="E50" s="112" t="str">
        <f>"Jan 31, "&amp;$D$3</f>
        <v>Jan 31, 2021</v>
      </c>
      <c r="F50" s="112" t="str">
        <f>"Apr 30, "&amp;$D$3</f>
        <v>Apr 30, 2021</v>
      </c>
      <c r="G50" s="112" t="str">
        <f>"Jul 31, "&amp;$D$3</f>
        <v>Jul 31, 2021</v>
      </c>
      <c r="I50" s="145"/>
    </row>
    <row r="51" spans="1:9" ht="15" customHeight="1">
      <c r="A51" s="136"/>
      <c r="B51" s="124"/>
      <c r="C51" s="91" t="s">
        <v>165</v>
      </c>
      <c r="D51" s="134" t="s">
        <v>166</v>
      </c>
      <c r="E51" s="134" t="s">
        <v>166</v>
      </c>
      <c r="F51" s="134" t="s">
        <v>166</v>
      </c>
      <c r="G51" s="134" t="s">
        <v>166</v>
      </c>
      <c r="I51" s="145"/>
    </row>
    <row r="52" spans="1:9" ht="15" customHeight="1">
      <c r="A52" s="137" t="s">
        <v>181</v>
      </c>
    </row>
    <row r="53" spans="1:9">
      <c r="A53" s="312" t="s">
        <v>380</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filterMode="1">
    <pageSetUpPr fitToPage="1"/>
  </sheetPr>
  <dimension ref="A1:M54"/>
  <sheetViews>
    <sheetView showGridLines="0" workbookViewId="0">
      <pane ySplit="10" topLeftCell="A11" activePane="bottomLeft" state="frozen"/>
      <selection activeCell="A18" sqref="A18"/>
      <selection pane="bottomLeft" activeCell="G27" sqref="G27"/>
    </sheetView>
  </sheetViews>
  <sheetFormatPr defaultRowHeight="12.75"/>
  <cols>
    <col min="1" max="1" width="57.28515625" customWidth="1"/>
    <col min="2" max="2" width="21" bestFit="1" customWidth="1"/>
    <col min="3" max="3" width="19.5703125" bestFit="1" customWidth="1"/>
    <col min="4" max="5" width="18.42578125" hidden="1" customWidth="1"/>
    <col min="6" max="6" width="18.28515625" hidden="1" customWidth="1"/>
    <col min="7" max="7" width="18.140625" bestFit="1" customWidth="1"/>
    <col min="8" max="9" width="18.42578125" bestFit="1" customWidth="1"/>
    <col min="10" max="10" width="18.28515625" customWidth="1"/>
    <col min="11" max="11" width="18.140625" customWidth="1"/>
    <col min="13" max="13" width="11.42578125" customWidth="1"/>
    <col min="261" max="261" width="57.28515625" customWidth="1"/>
    <col min="262" max="262" width="21" bestFit="1" customWidth="1"/>
    <col min="263" max="263" width="19.5703125" bestFit="1" customWidth="1"/>
    <col min="264" max="265" width="18.42578125" bestFit="1" customWidth="1"/>
    <col min="266" max="266" width="18.28515625" bestFit="1" customWidth="1"/>
    <col min="267" max="267" width="18.140625" bestFit="1" customWidth="1"/>
    <col min="517" max="517" width="57.28515625" customWidth="1"/>
    <col min="518" max="518" width="21" bestFit="1" customWidth="1"/>
    <col min="519" max="519" width="19.5703125" bestFit="1" customWidth="1"/>
    <col min="520" max="521" width="18.42578125" bestFit="1" customWidth="1"/>
    <col min="522" max="522" width="18.28515625" bestFit="1" customWidth="1"/>
    <col min="523" max="523" width="18.140625" bestFit="1" customWidth="1"/>
    <col min="773" max="773" width="57.28515625" customWidth="1"/>
    <col min="774" max="774" width="21" bestFit="1" customWidth="1"/>
    <col min="775" max="775" width="19.5703125" bestFit="1" customWidth="1"/>
    <col min="776" max="777" width="18.42578125" bestFit="1" customWidth="1"/>
    <col min="778" max="778" width="18.28515625" bestFit="1" customWidth="1"/>
    <col min="779" max="779" width="18.140625" bestFit="1" customWidth="1"/>
    <col min="1029" max="1029" width="57.28515625" customWidth="1"/>
    <col min="1030" max="1030" width="21" bestFit="1" customWidth="1"/>
    <col min="1031" max="1031" width="19.5703125" bestFit="1" customWidth="1"/>
    <col min="1032" max="1033" width="18.42578125" bestFit="1" customWidth="1"/>
    <col min="1034" max="1034" width="18.28515625" bestFit="1" customWidth="1"/>
    <col min="1035" max="1035" width="18.140625" bestFit="1" customWidth="1"/>
    <col min="1285" max="1285" width="57.28515625" customWidth="1"/>
    <col min="1286" max="1286" width="21" bestFit="1" customWidth="1"/>
    <col min="1287" max="1287" width="19.5703125" bestFit="1" customWidth="1"/>
    <col min="1288" max="1289" width="18.42578125" bestFit="1" customWidth="1"/>
    <col min="1290" max="1290" width="18.28515625" bestFit="1" customWidth="1"/>
    <col min="1291" max="1291" width="18.140625" bestFit="1" customWidth="1"/>
    <col min="1541" max="1541" width="57.28515625" customWidth="1"/>
    <col min="1542" max="1542" width="21" bestFit="1" customWidth="1"/>
    <col min="1543" max="1543" width="19.5703125" bestFit="1" customWidth="1"/>
    <col min="1544" max="1545" width="18.42578125" bestFit="1" customWidth="1"/>
    <col min="1546" max="1546" width="18.28515625" bestFit="1" customWidth="1"/>
    <col min="1547" max="1547" width="18.140625" bestFit="1" customWidth="1"/>
    <col min="1797" max="1797" width="57.28515625" customWidth="1"/>
    <col min="1798" max="1798" width="21" bestFit="1" customWidth="1"/>
    <col min="1799" max="1799" width="19.5703125" bestFit="1" customWidth="1"/>
    <col min="1800" max="1801" width="18.42578125" bestFit="1" customWidth="1"/>
    <col min="1802" max="1802" width="18.28515625" bestFit="1" customWidth="1"/>
    <col min="1803" max="1803" width="18.140625" bestFit="1" customWidth="1"/>
    <col min="2053" max="2053" width="57.28515625" customWidth="1"/>
    <col min="2054" max="2054" width="21" bestFit="1" customWidth="1"/>
    <col min="2055" max="2055" width="19.5703125" bestFit="1" customWidth="1"/>
    <col min="2056" max="2057" width="18.42578125" bestFit="1" customWidth="1"/>
    <col min="2058" max="2058" width="18.28515625" bestFit="1" customWidth="1"/>
    <col min="2059" max="2059" width="18.140625" bestFit="1" customWidth="1"/>
    <col min="2309" max="2309" width="57.28515625" customWidth="1"/>
    <col min="2310" max="2310" width="21" bestFit="1" customWidth="1"/>
    <col min="2311" max="2311" width="19.5703125" bestFit="1" customWidth="1"/>
    <col min="2312" max="2313" width="18.42578125" bestFit="1" customWidth="1"/>
    <col min="2314" max="2314" width="18.28515625" bestFit="1" customWidth="1"/>
    <col min="2315" max="2315" width="18.140625" bestFit="1" customWidth="1"/>
    <col min="2565" max="2565" width="57.28515625" customWidth="1"/>
    <col min="2566" max="2566" width="21" bestFit="1" customWidth="1"/>
    <col min="2567" max="2567" width="19.5703125" bestFit="1" customWidth="1"/>
    <col min="2568" max="2569" width="18.42578125" bestFit="1" customWidth="1"/>
    <col min="2570" max="2570" width="18.28515625" bestFit="1" customWidth="1"/>
    <col min="2571" max="2571" width="18.140625" bestFit="1" customWidth="1"/>
    <col min="2821" max="2821" width="57.28515625" customWidth="1"/>
    <col min="2822" max="2822" width="21" bestFit="1" customWidth="1"/>
    <col min="2823" max="2823" width="19.5703125" bestFit="1" customWidth="1"/>
    <col min="2824" max="2825" width="18.42578125" bestFit="1" customWidth="1"/>
    <col min="2826" max="2826" width="18.28515625" bestFit="1" customWidth="1"/>
    <col min="2827" max="2827" width="18.140625" bestFit="1" customWidth="1"/>
    <col min="3077" max="3077" width="57.28515625" customWidth="1"/>
    <col min="3078" max="3078" width="21" bestFit="1" customWidth="1"/>
    <col min="3079" max="3079" width="19.5703125" bestFit="1" customWidth="1"/>
    <col min="3080" max="3081" width="18.42578125" bestFit="1" customWidth="1"/>
    <col min="3082" max="3082" width="18.28515625" bestFit="1" customWidth="1"/>
    <col min="3083" max="3083" width="18.140625" bestFit="1" customWidth="1"/>
    <col min="3333" max="3333" width="57.28515625" customWidth="1"/>
    <col min="3334" max="3334" width="21" bestFit="1" customWidth="1"/>
    <col min="3335" max="3335" width="19.5703125" bestFit="1" customWidth="1"/>
    <col min="3336" max="3337" width="18.42578125" bestFit="1" customWidth="1"/>
    <col min="3338" max="3338" width="18.28515625" bestFit="1" customWidth="1"/>
    <col min="3339" max="3339" width="18.140625" bestFit="1" customWidth="1"/>
    <col min="3589" max="3589" width="57.28515625" customWidth="1"/>
    <col min="3590" max="3590" width="21" bestFit="1" customWidth="1"/>
    <col min="3591" max="3591" width="19.5703125" bestFit="1" customWidth="1"/>
    <col min="3592" max="3593" width="18.42578125" bestFit="1" customWidth="1"/>
    <col min="3594" max="3594" width="18.28515625" bestFit="1" customWidth="1"/>
    <col min="3595" max="3595" width="18.140625" bestFit="1" customWidth="1"/>
    <col min="3845" max="3845" width="57.28515625" customWidth="1"/>
    <col min="3846" max="3846" width="21" bestFit="1" customWidth="1"/>
    <col min="3847" max="3847" width="19.5703125" bestFit="1" customWidth="1"/>
    <col min="3848" max="3849" width="18.42578125" bestFit="1" customWidth="1"/>
    <col min="3850" max="3850" width="18.28515625" bestFit="1" customWidth="1"/>
    <col min="3851" max="3851" width="18.140625" bestFit="1" customWidth="1"/>
    <col min="4101" max="4101" width="57.28515625" customWidth="1"/>
    <col min="4102" max="4102" width="21" bestFit="1" customWidth="1"/>
    <col min="4103" max="4103" width="19.5703125" bestFit="1" customWidth="1"/>
    <col min="4104" max="4105" width="18.42578125" bestFit="1" customWidth="1"/>
    <col min="4106" max="4106" width="18.28515625" bestFit="1" customWidth="1"/>
    <col min="4107" max="4107" width="18.140625" bestFit="1" customWidth="1"/>
    <col min="4357" max="4357" width="57.28515625" customWidth="1"/>
    <col min="4358" max="4358" width="21" bestFit="1" customWidth="1"/>
    <col min="4359" max="4359" width="19.5703125" bestFit="1" customWidth="1"/>
    <col min="4360" max="4361" width="18.42578125" bestFit="1" customWidth="1"/>
    <col min="4362" max="4362" width="18.28515625" bestFit="1" customWidth="1"/>
    <col min="4363" max="4363" width="18.140625" bestFit="1" customWidth="1"/>
    <col min="4613" max="4613" width="57.28515625" customWidth="1"/>
    <col min="4614" max="4614" width="21" bestFit="1" customWidth="1"/>
    <col min="4615" max="4615" width="19.5703125" bestFit="1" customWidth="1"/>
    <col min="4616" max="4617" width="18.42578125" bestFit="1" customWidth="1"/>
    <col min="4618" max="4618" width="18.28515625" bestFit="1" customWidth="1"/>
    <col min="4619" max="4619" width="18.140625" bestFit="1" customWidth="1"/>
    <col min="4869" max="4869" width="57.28515625" customWidth="1"/>
    <col min="4870" max="4870" width="21" bestFit="1" customWidth="1"/>
    <col min="4871" max="4871" width="19.5703125" bestFit="1" customWidth="1"/>
    <col min="4872" max="4873" width="18.42578125" bestFit="1" customWidth="1"/>
    <col min="4874" max="4874" width="18.28515625" bestFit="1" customWidth="1"/>
    <col min="4875" max="4875" width="18.140625" bestFit="1" customWidth="1"/>
    <col min="5125" max="5125" width="57.28515625" customWidth="1"/>
    <col min="5126" max="5126" width="21" bestFit="1" customWidth="1"/>
    <col min="5127" max="5127" width="19.5703125" bestFit="1" customWidth="1"/>
    <col min="5128" max="5129" width="18.42578125" bestFit="1" customWidth="1"/>
    <col min="5130" max="5130" width="18.28515625" bestFit="1" customWidth="1"/>
    <col min="5131" max="5131" width="18.140625" bestFit="1" customWidth="1"/>
    <col min="5381" max="5381" width="57.28515625" customWidth="1"/>
    <col min="5382" max="5382" width="21" bestFit="1" customWidth="1"/>
    <col min="5383" max="5383" width="19.5703125" bestFit="1" customWidth="1"/>
    <col min="5384" max="5385" width="18.42578125" bestFit="1" customWidth="1"/>
    <col min="5386" max="5386" width="18.28515625" bestFit="1" customWidth="1"/>
    <col min="5387" max="5387" width="18.140625" bestFit="1" customWidth="1"/>
    <col min="5637" max="5637" width="57.28515625" customWidth="1"/>
    <col min="5638" max="5638" width="21" bestFit="1" customWidth="1"/>
    <col min="5639" max="5639" width="19.5703125" bestFit="1" customWidth="1"/>
    <col min="5640" max="5641" width="18.42578125" bestFit="1" customWidth="1"/>
    <col min="5642" max="5642" width="18.28515625" bestFit="1" customWidth="1"/>
    <col min="5643" max="5643" width="18.140625" bestFit="1" customWidth="1"/>
    <col min="5893" max="5893" width="57.28515625" customWidth="1"/>
    <col min="5894" max="5894" width="21" bestFit="1" customWidth="1"/>
    <col min="5895" max="5895" width="19.5703125" bestFit="1" customWidth="1"/>
    <col min="5896" max="5897" width="18.42578125" bestFit="1" customWidth="1"/>
    <col min="5898" max="5898" width="18.28515625" bestFit="1" customWidth="1"/>
    <col min="5899" max="5899" width="18.140625" bestFit="1" customWidth="1"/>
    <col min="6149" max="6149" width="57.28515625" customWidth="1"/>
    <col min="6150" max="6150" width="21" bestFit="1" customWidth="1"/>
    <col min="6151" max="6151" width="19.5703125" bestFit="1" customWidth="1"/>
    <col min="6152" max="6153" width="18.42578125" bestFit="1" customWidth="1"/>
    <col min="6154" max="6154" width="18.28515625" bestFit="1" customWidth="1"/>
    <col min="6155" max="6155" width="18.140625" bestFit="1" customWidth="1"/>
    <col min="6405" max="6405" width="57.28515625" customWidth="1"/>
    <col min="6406" max="6406" width="21" bestFit="1" customWidth="1"/>
    <col min="6407" max="6407" width="19.5703125" bestFit="1" customWidth="1"/>
    <col min="6408" max="6409" width="18.42578125" bestFit="1" customWidth="1"/>
    <col min="6410" max="6410" width="18.28515625" bestFit="1" customWidth="1"/>
    <col min="6411" max="6411" width="18.140625" bestFit="1" customWidth="1"/>
    <col min="6661" max="6661" width="57.28515625" customWidth="1"/>
    <col min="6662" max="6662" width="21" bestFit="1" customWidth="1"/>
    <col min="6663" max="6663" width="19.5703125" bestFit="1" customWidth="1"/>
    <col min="6664" max="6665" width="18.42578125" bestFit="1" customWidth="1"/>
    <col min="6666" max="6666" width="18.28515625" bestFit="1" customWidth="1"/>
    <col min="6667" max="6667" width="18.140625" bestFit="1" customWidth="1"/>
    <col min="6917" max="6917" width="57.28515625" customWidth="1"/>
    <col min="6918" max="6918" width="21" bestFit="1" customWidth="1"/>
    <col min="6919" max="6919" width="19.5703125" bestFit="1" customWidth="1"/>
    <col min="6920" max="6921" width="18.42578125" bestFit="1" customWidth="1"/>
    <col min="6922" max="6922" width="18.28515625" bestFit="1" customWidth="1"/>
    <col min="6923" max="6923" width="18.140625" bestFit="1" customWidth="1"/>
    <col min="7173" max="7173" width="57.28515625" customWidth="1"/>
    <col min="7174" max="7174" width="21" bestFit="1" customWidth="1"/>
    <col min="7175" max="7175" width="19.5703125" bestFit="1" customWidth="1"/>
    <col min="7176" max="7177" width="18.42578125" bestFit="1" customWidth="1"/>
    <col min="7178" max="7178" width="18.28515625" bestFit="1" customWidth="1"/>
    <col min="7179" max="7179" width="18.140625" bestFit="1" customWidth="1"/>
    <col min="7429" max="7429" width="57.28515625" customWidth="1"/>
    <col min="7430" max="7430" width="21" bestFit="1" customWidth="1"/>
    <col min="7431" max="7431" width="19.5703125" bestFit="1" customWidth="1"/>
    <col min="7432" max="7433" width="18.42578125" bestFit="1" customWidth="1"/>
    <col min="7434" max="7434" width="18.28515625" bestFit="1" customWidth="1"/>
    <col min="7435" max="7435" width="18.140625" bestFit="1" customWidth="1"/>
    <col min="7685" max="7685" width="57.28515625" customWidth="1"/>
    <col min="7686" max="7686" width="21" bestFit="1" customWidth="1"/>
    <col min="7687" max="7687" width="19.5703125" bestFit="1" customWidth="1"/>
    <col min="7688" max="7689" width="18.42578125" bestFit="1" customWidth="1"/>
    <col min="7690" max="7690" width="18.28515625" bestFit="1" customWidth="1"/>
    <col min="7691" max="7691" width="18.140625" bestFit="1" customWidth="1"/>
    <col min="7941" max="7941" width="57.28515625" customWidth="1"/>
    <col min="7942" max="7942" width="21" bestFit="1" customWidth="1"/>
    <col min="7943" max="7943" width="19.5703125" bestFit="1" customWidth="1"/>
    <col min="7944" max="7945" width="18.42578125" bestFit="1" customWidth="1"/>
    <col min="7946" max="7946" width="18.28515625" bestFit="1" customWidth="1"/>
    <col min="7947" max="7947" width="18.140625" bestFit="1" customWidth="1"/>
    <col min="8197" max="8197" width="57.28515625" customWidth="1"/>
    <col min="8198" max="8198" width="21" bestFit="1" customWidth="1"/>
    <col min="8199" max="8199" width="19.5703125" bestFit="1" customWidth="1"/>
    <col min="8200" max="8201" width="18.42578125" bestFit="1" customWidth="1"/>
    <col min="8202" max="8202" width="18.28515625" bestFit="1" customWidth="1"/>
    <col min="8203" max="8203" width="18.140625" bestFit="1" customWidth="1"/>
    <col min="8453" max="8453" width="57.28515625" customWidth="1"/>
    <col min="8454" max="8454" width="21" bestFit="1" customWidth="1"/>
    <col min="8455" max="8455" width="19.5703125" bestFit="1" customWidth="1"/>
    <col min="8456" max="8457" width="18.42578125" bestFit="1" customWidth="1"/>
    <col min="8458" max="8458" width="18.28515625" bestFit="1" customWidth="1"/>
    <col min="8459" max="8459" width="18.140625" bestFit="1" customWidth="1"/>
    <col min="8709" max="8709" width="57.28515625" customWidth="1"/>
    <col min="8710" max="8710" width="21" bestFit="1" customWidth="1"/>
    <col min="8711" max="8711" width="19.5703125" bestFit="1" customWidth="1"/>
    <col min="8712" max="8713" width="18.42578125" bestFit="1" customWidth="1"/>
    <col min="8714" max="8714" width="18.28515625" bestFit="1" customWidth="1"/>
    <col min="8715" max="8715" width="18.140625" bestFit="1" customWidth="1"/>
    <col min="8965" max="8965" width="57.28515625" customWidth="1"/>
    <col min="8966" max="8966" width="21" bestFit="1" customWidth="1"/>
    <col min="8967" max="8967" width="19.5703125" bestFit="1" customWidth="1"/>
    <col min="8968" max="8969" width="18.42578125" bestFit="1" customWidth="1"/>
    <col min="8970" max="8970" width="18.28515625" bestFit="1" customWidth="1"/>
    <col min="8971" max="8971" width="18.140625" bestFit="1" customWidth="1"/>
    <col min="9221" max="9221" width="57.28515625" customWidth="1"/>
    <col min="9222" max="9222" width="21" bestFit="1" customWidth="1"/>
    <col min="9223" max="9223" width="19.5703125" bestFit="1" customWidth="1"/>
    <col min="9224" max="9225" width="18.42578125" bestFit="1" customWidth="1"/>
    <col min="9226" max="9226" width="18.28515625" bestFit="1" customWidth="1"/>
    <col min="9227" max="9227" width="18.140625" bestFit="1" customWidth="1"/>
    <col min="9477" max="9477" width="57.28515625" customWidth="1"/>
    <col min="9478" max="9478" width="21" bestFit="1" customWidth="1"/>
    <col min="9479" max="9479" width="19.5703125" bestFit="1" customWidth="1"/>
    <col min="9480" max="9481" width="18.42578125" bestFit="1" customWidth="1"/>
    <col min="9482" max="9482" width="18.28515625" bestFit="1" customWidth="1"/>
    <col min="9483" max="9483" width="18.140625" bestFit="1" customWidth="1"/>
    <col min="9733" max="9733" width="57.28515625" customWidth="1"/>
    <col min="9734" max="9734" width="21" bestFit="1" customWidth="1"/>
    <col min="9735" max="9735" width="19.5703125" bestFit="1" customWidth="1"/>
    <col min="9736" max="9737" width="18.42578125" bestFit="1" customWidth="1"/>
    <col min="9738" max="9738" width="18.28515625" bestFit="1" customWidth="1"/>
    <col min="9739" max="9739" width="18.140625" bestFit="1" customWidth="1"/>
    <col min="9989" max="9989" width="57.28515625" customWidth="1"/>
    <col min="9990" max="9990" width="21" bestFit="1" customWidth="1"/>
    <col min="9991" max="9991" width="19.5703125" bestFit="1" customWidth="1"/>
    <col min="9992" max="9993" width="18.42578125" bestFit="1" customWidth="1"/>
    <col min="9994" max="9994" width="18.28515625" bestFit="1" customWidth="1"/>
    <col min="9995" max="9995" width="18.140625" bestFit="1" customWidth="1"/>
    <col min="10245" max="10245" width="57.28515625" customWidth="1"/>
    <col min="10246" max="10246" width="21" bestFit="1" customWidth="1"/>
    <col min="10247" max="10247" width="19.5703125" bestFit="1" customWidth="1"/>
    <col min="10248" max="10249" width="18.42578125" bestFit="1" customWidth="1"/>
    <col min="10250" max="10250" width="18.28515625" bestFit="1" customWidth="1"/>
    <col min="10251" max="10251" width="18.140625" bestFit="1" customWidth="1"/>
    <col min="10501" max="10501" width="57.28515625" customWidth="1"/>
    <col min="10502" max="10502" width="21" bestFit="1" customWidth="1"/>
    <col min="10503" max="10503" width="19.5703125" bestFit="1" customWidth="1"/>
    <col min="10504" max="10505" width="18.42578125" bestFit="1" customWidth="1"/>
    <col min="10506" max="10506" width="18.28515625" bestFit="1" customWidth="1"/>
    <col min="10507" max="10507" width="18.140625" bestFit="1" customWidth="1"/>
    <col min="10757" max="10757" width="57.28515625" customWidth="1"/>
    <col min="10758" max="10758" width="21" bestFit="1" customWidth="1"/>
    <col min="10759" max="10759" width="19.5703125" bestFit="1" customWidth="1"/>
    <col min="10760" max="10761" width="18.42578125" bestFit="1" customWidth="1"/>
    <col min="10762" max="10762" width="18.28515625" bestFit="1" customWidth="1"/>
    <col min="10763" max="10763" width="18.140625" bestFit="1" customWidth="1"/>
    <col min="11013" max="11013" width="57.28515625" customWidth="1"/>
    <col min="11014" max="11014" width="21" bestFit="1" customWidth="1"/>
    <col min="11015" max="11015" width="19.5703125" bestFit="1" customWidth="1"/>
    <col min="11016" max="11017" width="18.42578125" bestFit="1" customWidth="1"/>
    <col min="11018" max="11018" width="18.28515625" bestFit="1" customWidth="1"/>
    <col min="11019" max="11019" width="18.140625" bestFit="1" customWidth="1"/>
    <col min="11269" max="11269" width="57.28515625" customWidth="1"/>
    <col min="11270" max="11270" width="21" bestFit="1" customWidth="1"/>
    <col min="11271" max="11271" width="19.5703125" bestFit="1" customWidth="1"/>
    <col min="11272" max="11273" width="18.42578125" bestFit="1" customWidth="1"/>
    <col min="11274" max="11274" width="18.28515625" bestFit="1" customWidth="1"/>
    <col min="11275" max="11275" width="18.140625" bestFit="1" customWidth="1"/>
    <col min="11525" max="11525" width="57.28515625" customWidth="1"/>
    <col min="11526" max="11526" width="21" bestFit="1" customWidth="1"/>
    <col min="11527" max="11527" width="19.5703125" bestFit="1" customWidth="1"/>
    <col min="11528" max="11529" width="18.42578125" bestFit="1" customWidth="1"/>
    <col min="11530" max="11530" width="18.28515625" bestFit="1" customWidth="1"/>
    <col min="11531" max="11531" width="18.140625" bestFit="1" customWidth="1"/>
    <col min="11781" max="11781" width="57.28515625" customWidth="1"/>
    <col min="11782" max="11782" width="21" bestFit="1" customWidth="1"/>
    <col min="11783" max="11783" width="19.5703125" bestFit="1" customWidth="1"/>
    <col min="11784" max="11785" width="18.42578125" bestFit="1" customWidth="1"/>
    <col min="11786" max="11786" width="18.28515625" bestFit="1" customWidth="1"/>
    <col min="11787" max="11787" width="18.140625" bestFit="1" customWidth="1"/>
    <col min="12037" max="12037" width="57.28515625" customWidth="1"/>
    <col min="12038" max="12038" width="21" bestFit="1" customWidth="1"/>
    <col min="12039" max="12039" width="19.5703125" bestFit="1" customWidth="1"/>
    <col min="12040" max="12041" width="18.42578125" bestFit="1" customWidth="1"/>
    <col min="12042" max="12042" width="18.28515625" bestFit="1" customWidth="1"/>
    <col min="12043" max="12043" width="18.140625" bestFit="1" customWidth="1"/>
    <col min="12293" max="12293" width="57.28515625" customWidth="1"/>
    <col min="12294" max="12294" width="21" bestFit="1" customWidth="1"/>
    <col min="12295" max="12295" width="19.5703125" bestFit="1" customWidth="1"/>
    <col min="12296" max="12297" width="18.42578125" bestFit="1" customWidth="1"/>
    <col min="12298" max="12298" width="18.28515625" bestFit="1" customWidth="1"/>
    <col min="12299" max="12299" width="18.140625" bestFit="1" customWidth="1"/>
    <col min="12549" max="12549" width="57.28515625" customWidth="1"/>
    <col min="12550" max="12550" width="21" bestFit="1" customWidth="1"/>
    <col min="12551" max="12551" width="19.5703125" bestFit="1" customWidth="1"/>
    <col min="12552" max="12553" width="18.42578125" bestFit="1" customWidth="1"/>
    <col min="12554" max="12554" width="18.28515625" bestFit="1" customWidth="1"/>
    <col min="12555" max="12555" width="18.140625" bestFit="1" customWidth="1"/>
    <col min="12805" max="12805" width="57.28515625" customWidth="1"/>
    <col min="12806" max="12806" width="21" bestFit="1" customWidth="1"/>
    <col min="12807" max="12807" width="19.5703125" bestFit="1" customWidth="1"/>
    <col min="12808" max="12809" width="18.42578125" bestFit="1" customWidth="1"/>
    <col min="12810" max="12810" width="18.28515625" bestFit="1" customWidth="1"/>
    <col min="12811" max="12811" width="18.140625" bestFit="1" customWidth="1"/>
    <col min="13061" max="13061" width="57.28515625" customWidth="1"/>
    <col min="13062" max="13062" width="21" bestFit="1" customWidth="1"/>
    <col min="13063" max="13063" width="19.5703125" bestFit="1" customWidth="1"/>
    <col min="13064" max="13065" width="18.42578125" bestFit="1" customWidth="1"/>
    <col min="13066" max="13066" width="18.28515625" bestFit="1" customWidth="1"/>
    <col min="13067" max="13067" width="18.140625" bestFit="1" customWidth="1"/>
    <col min="13317" max="13317" width="57.28515625" customWidth="1"/>
    <col min="13318" max="13318" width="21" bestFit="1" customWidth="1"/>
    <col min="13319" max="13319" width="19.5703125" bestFit="1" customWidth="1"/>
    <col min="13320" max="13321" width="18.42578125" bestFit="1" customWidth="1"/>
    <col min="13322" max="13322" width="18.28515625" bestFit="1" customWidth="1"/>
    <col min="13323" max="13323" width="18.140625" bestFit="1" customWidth="1"/>
    <col min="13573" max="13573" width="57.28515625" customWidth="1"/>
    <col min="13574" max="13574" width="21" bestFit="1" customWidth="1"/>
    <col min="13575" max="13575" width="19.5703125" bestFit="1" customWidth="1"/>
    <col min="13576" max="13577" width="18.42578125" bestFit="1" customWidth="1"/>
    <col min="13578" max="13578" width="18.28515625" bestFit="1" customWidth="1"/>
    <col min="13579" max="13579" width="18.140625" bestFit="1" customWidth="1"/>
    <col min="13829" max="13829" width="57.28515625" customWidth="1"/>
    <col min="13830" max="13830" width="21" bestFit="1" customWidth="1"/>
    <col min="13831" max="13831" width="19.5703125" bestFit="1" customWidth="1"/>
    <col min="13832" max="13833" width="18.42578125" bestFit="1" customWidth="1"/>
    <col min="13834" max="13834" width="18.28515625" bestFit="1" customWidth="1"/>
    <col min="13835" max="13835" width="18.140625" bestFit="1" customWidth="1"/>
    <col min="14085" max="14085" width="57.28515625" customWidth="1"/>
    <col min="14086" max="14086" width="21" bestFit="1" customWidth="1"/>
    <col min="14087" max="14087" width="19.5703125" bestFit="1" customWidth="1"/>
    <col min="14088" max="14089" width="18.42578125" bestFit="1" customWidth="1"/>
    <col min="14090" max="14090" width="18.28515625" bestFit="1" customWidth="1"/>
    <col min="14091" max="14091" width="18.140625" bestFit="1" customWidth="1"/>
    <col min="14341" max="14341" width="57.28515625" customWidth="1"/>
    <col min="14342" max="14342" width="21" bestFit="1" customWidth="1"/>
    <col min="14343" max="14343" width="19.5703125" bestFit="1" customWidth="1"/>
    <col min="14344" max="14345" width="18.42578125" bestFit="1" customWidth="1"/>
    <col min="14346" max="14346" width="18.28515625" bestFit="1" customWidth="1"/>
    <col min="14347" max="14347" width="18.140625" bestFit="1" customWidth="1"/>
    <col min="14597" max="14597" width="57.28515625" customWidth="1"/>
    <col min="14598" max="14598" width="21" bestFit="1" customWidth="1"/>
    <col min="14599" max="14599" width="19.5703125" bestFit="1" customWidth="1"/>
    <col min="14600" max="14601" width="18.42578125" bestFit="1" customWidth="1"/>
    <col min="14602" max="14602" width="18.28515625" bestFit="1" customWidth="1"/>
    <col min="14603" max="14603" width="18.140625" bestFit="1" customWidth="1"/>
    <col min="14853" max="14853" width="57.28515625" customWidth="1"/>
    <col min="14854" max="14854" width="21" bestFit="1" customWidth="1"/>
    <col min="14855" max="14855" width="19.5703125" bestFit="1" customWidth="1"/>
    <col min="14856" max="14857" width="18.42578125" bestFit="1" customWidth="1"/>
    <col min="14858" max="14858" width="18.28515625" bestFit="1" customWidth="1"/>
    <col min="14859" max="14859" width="18.140625" bestFit="1" customWidth="1"/>
    <col min="15109" max="15109" width="57.28515625" customWidth="1"/>
    <col min="15110" max="15110" width="21" bestFit="1" customWidth="1"/>
    <col min="15111" max="15111" width="19.5703125" bestFit="1" customWidth="1"/>
    <col min="15112" max="15113" width="18.42578125" bestFit="1" customWidth="1"/>
    <col min="15114" max="15114" width="18.28515625" bestFit="1" customWidth="1"/>
    <col min="15115" max="15115" width="18.140625" bestFit="1" customWidth="1"/>
    <col min="15365" max="15365" width="57.28515625" customWidth="1"/>
    <col min="15366" max="15366" width="21" bestFit="1" customWidth="1"/>
    <col min="15367" max="15367" width="19.5703125" bestFit="1" customWidth="1"/>
    <col min="15368" max="15369" width="18.42578125" bestFit="1" customWidth="1"/>
    <col min="15370" max="15370" width="18.28515625" bestFit="1" customWidth="1"/>
    <col min="15371" max="15371" width="18.140625" bestFit="1" customWidth="1"/>
    <col min="15621" max="15621" width="57.28515625" customWidth="1"/>
    <col min="15622" max="15622" width="21" bestFit="1" customWidth="1"/>
    <col min="15623" max="15623" width="19.5703125" bestFit="1" customWidth="1"/>
    <col min="15624" max="15625" width="18.42578125" bestFit="1" customWidth="1"/>
    <col min="15626" max="15626" width="18.28515625" bestFit="1" customWidth="1"/>
    <col min="15627" max="15627" width="18.140625" bestFit="1" customWidth="1"/>
    <col min="15877" max="15877" width="57.28515625" customWidth="1"/>
    <col min="15878" max="15878" width="21" bestFit="1" customWidth="1"/>
    <col min="15879" max="15879" width="19.5703125" bestFit="1" customWidth="1"/>
    <col min="15880" max="15881" width="18.42578125" bestFit="1" customWidth="1"/>
    <col min="15882" max="15882" width="18.28515625" bestFit="1" customWidth="1"/>
    <col min="15883" max="15883" width="18.140625" bestFit="1" customWidth="1"/>
    <col min="16133" max="16133" width="57.28515625" customWidth="1"/>
    <col min="16134" max="16134" width="21" bestFit="1" customWidth="1"/>
    <col min="16135" max="16135" width="19.5703125" bestFit="1" customWidth="1"/>
    <col min="16136" max="16137" width="18.42578125" bestFit="1" customWidth="1"/>
    <col min="16138" max="16138" width="18.28515625" bestFit="1" customWidth="1"/>
    <col min="16139" max="16139" width="18.140625" bestFit="1" customWidth="1"/>
  </cols>
  <sheetData>
    <row r="1" spans="1:13" ht="15.75">
      <c r="A1" s="81" t="s">
        <v>368</v>
      </c>
      <c r="B1" s="82"/>
      <c r="C1" s="82"/>
      <c r="D1" s="82"/>
      <c r="E1" s="82"/>
      <c r="F1" s="82"/>
      <c r="G1" s="82"/>
      <c r="H1" s="82"/>
      <c r="I1" s="82"/>
      <c r="J1" s="82"/>
      <c r="K1" s="82"/>
    </row>
    <row r="2" spans="1:13" ht="15.75">
      <c r="A2" s="81"/>
      <c r="B2" s="82"/>
      <c r="C2" s="82"/>
      <c r="D2" s="82"/>
      <c r="E2" s="82"/>
      <c r="F2" s="82"/>
      <c r="G2" s="82"/>
      <c r="H2" s="82"/>
      <c r="I2" s="82"/>
      <c r="J2" s="82"/>
      <c r="K2" s="82"/>
    </row>
    <row r="3" spans="1:13" ht="15.75">
      <c r="A3" s="83"/>
      <c r="B3" s="84"/>
      <c r="C3" s="85"/>
    </row>
    <row r="4" spans="1:13" s="22" customFormat="1" ht="20.100000000000001" customHeight="1">
      <c r="A4" s="86" t="s">
        <v>363</v>
      </c>
      <c r="E4" s="87"/>
      <c r="F4" s="87"/>
      <c r="G4" s="139">
        <f>H4-1</f>
        <v>2020</v>
      </c>
      <c r="H4" s="139">
        <f>'Set-Up Worksheet'!F3</f>
        <v>2021</v>
      </c>
      <c r="I4" s="300"/>
      <c r="J4" s="87"/>
      <c r="K4" s="87"/>
    </row>
    <row r="5" spans="1:13" s="30" customFormat="1" ht="20.100000000000001" customHeight="1">
      <c r="A5" s="307" t="s">
        <v>367</v>
      </c>
      <c r="B5" s="89"/>
      <c r="C5" s="90" t="s">
        <v>183</v>
      </c>
      <c r="D5" s="90" t="s">
        <v>147</v>
      </c>
      <c r="E5" s="90" t="s">
        <v>148</v>
      </c>
      <c r="F5" s="90" t="s">
        <v>149</v>
      </c>
      <c r="G5" s="90" t="s">
        <v>150</v>
      </c>
      <c r="H5" s="285" t="s">
        <v>147</v>
      </c>
      <c r="I5" s="90" t="s">
        <v>148</v>
      </c>
      <c r="J5" s="293" t="s">
        <v>149</v>
      </c>
      <c r="K5" s="90" t="s">
        <v>150</v>
      </c>
    </row>
    <row r="6" spans="1:13" s="22" customFormat="1" ht="15" customHeight="1">
      <c r="A6" s="88" t="s">
        <v>151</v>
      </c>
      <c r="C6" s="91" t="s">
        <v>152</v>
      </c>
      <c r="D6" s="92" t="str">
        <f>"Jul - Sep "&amp;$G$4-1</f>
        <v>Jul - Sep 2019</v>
      </c>
      <c r="E6" s="92" t="str">
        <f>"Oct - Dec "&amp;$G$4-1</f>
        <v>Oct - Dec 2019</v>
      </c>
      <c r="F6" s="92" t="str">
        <f>"Jan - Mar "&amp;$G$4</f>
        <v>Jan - Mar 2020</v>
      </c>
      <c r="G6" s="308" t="str">
        <f>"Apr - Jun "&amp;$G$4</f>
        <v>Apr - Jun 2020</v>
      </c>
      <c r="H6" s="309" t="str">
        <f>"Jul - Sep "&amp;$H$4-1</f>
        <v>Jul - Sep 2020</v>
      </c>
      <c r="I6" s="308" t="str">
        <f>"Oct - Dec "&amp;$H$4-1</f>
        <v>Oct - Dec 2020</v>
      </c>
      <c r="J6" s="310" t="str">
        <f>"Jan - Mar "&amp;$H$4</f>
        <v>Jan - Mar 2021</v>
      </c>
      <c r="K6" s="308" t="str">
        <f>"Apr - Jun "&amp;$H$4</f>
        <v>Apr - Jun 2021</v>
      </c>
    </row>
    <row r="7" spans="1:13" s="22" customFormat="1" ht="15" customHeight="1">
      <c r="A7" s="307" t="s">
        <v>366</v>
      </c>
      <c r="C7" s="311" t="s">
        <v>379</v>
      </c>
      <c r="D7" s="92"/>
      <c r="E7" s="92"/>
      <c r="F7" s="92"/>
      <c r="G7" s="92" t="str">
        <f>"Aug 17, "&amp;$G$4</f>
        <v>Aug 17, 2020</v>
      </c>
      <c r="H7" s="286" t="str">
        <f>"Nov 17, "&amp;$H$4-1</f>
        <v>Nov 17, 2020</v>
      </c>
      <c r="I7" s="92" t="str">
        <f>"Feb 17, "&amp;$H$4</f>
        <v>Feb 17, 2021</v>
      </c>
      <c r="J7" s="294" t="str">
        <f>"May 17, "&amp;$H$4</f>
        <v>May 17, 2021</v>
      </c>
      <c r="K7" s="92" t="str">
        <f>"Aug 17, "&amp;$H$4</f>
        <v>Aug 17, 2021</v>
      </c>
    </row>
    <row r="8" spans="1:13" s="22" customFormat="1" ht="15" customHeight="1">
      <c r="A8" s="88" t="s">
        <v>153</v>
      </c>
      <c r="C8" s="93" t="s">
        <v>154</v>
      </c>
      <c r="D8" s="94" t="str">
        <f>"Nov 30, "&amp;$G$4-1</f>
        <v>Nov 30, 2019</v>
      </c>
      <c r="E8" s="94" t="str">
        <f>IF(OR($G$4=2012,$G$4=2016,$G$4=2020,$G$4=2024),"Feb 29, ","Feb 28, ")&amp;$G$4</f>
        <v>Feb 29, 2020</v>
      </c>
      <c r="F8" s="94" t="str">
        <f>"May 31, "&amp;$G$4</f>
        <v>May 31, 2020</v>
      </c>
      <c r="G8" s="94" t="str">
        <f>"Aug 31, "&amp;$G$4</f>
        <v>Aug 31, 2020</v>
      </c>
      <c r="H8" s="287" t="str">
        <f>"Nov 30, "&amp;$H$4-1</f>
        <v>Nov 30, 2020</v>
      </c>
      <c r="I8" s="94" t="str">
        <f>IF(OR($H$4=2012,$H$4=2016,$H$4=2020,$H$4=2024),"Feb 29, ","Feb 28, ")&amp;$H$4</f>
        <v>Feb 28, 2021</v>
      </c>
      <c r="J8" s="295" t="str">
        <f>"May 31, "&amp;$H$4</f>
        <v>May 31, 2021</v>
      </c>
      <c r="K8" s="94" t="str">
        <f>"Aug 31, "&amp;$H$4</f>
        <v>Aug 31, 2021</v>
      </c>
    </row>
    <row r="9" spans="1:13" s="22" customFormat="1" ht="15" customHeight="1">
      <c r="C9" s="95"/>
      <c r="D9" s="96"/>
      <c r="E9" s="96"/>
      <c r="F9" s="96"/>
      <c r="G9" s="96"/>
      <c r="H9" s="96"/>
      <c r="I9" s="303"/>
      <c r="J9" s="96"/>
      <c r="K9" s="96"/>
      <c r="M9" s="444" t="s">
        <v>302</v>
      </c>
    </row>
    <row r="10" spans="1:13" s="22" customFormat="1" ht="20.100000000000001" customHeight="1" thickBot="1">
      <c r="A10" s="90" t="s">
        <v>155</v>
      </c>
      <c r="B10" s="388" t="s">
        <v>156</v>
      </c>
      <c r="C10" s="90" t="s">
        <v>146</v>
      </c>
      <c r="D10" s="97" t="s">
        <v>182</v>
      </c>
      <c r="E10" s="98"/>
      <c r="F10" s="98"/>
      <c r="G10" s="97" t="s">
        <v>182</v>
      </c>
      <c r="H10" s="304"/>
      <c r="I10" s="304"/>
      <c r="J10" s="98"/>
      <c r="K10" s="99"/>
      <c r="M10" s="444"/>
    </row>
    <row r="11" spans="1:13" s="22" customFormat="1" ht="15" hidden="1" customHeight="1">
      <c r="A11" s="100" t="s">
        <v>275</v>
      </c>
      <c r="B11" s="101" t="s">
        <v>160</v>
      </c>
      <c r="C11" s="93" t="s">
        <v>161</v>
      </c>
      <c r="D11" s="108" t="str">
        <f>"Jul - Sep "&amp;$G$4-1</f>
        <v>Jul - Sep 2019</v>
      </c>
      <c r="E11" s="108" t="str">
        <f>"Oct - Dec "&amp;$G$4-1</f>
        <v>Oct - Dec 2019</v>
      </c>
      <c r="F11" s="108" t="str">
        <f>"Jan - Mar "&amp;$G$4</f>
        <v>Jan - Mar 2020</v>
      </c>
      <c r="G11" s="108" t="str">
        <f>"Apr - Jun "&amp;$G$4</f>
        <v>Apr - Jun 2020</v>
      </c>
      <c r="H11" s="108" t="str">
        <f>"Jul - Sep "&amp;$H$4-1</f>
        <v>Jul - Sep 2020</v>
      </c>
      <c r="I11" s="108" t="str">
        <f>"Oct - Dec "&amp;$H$4-1</f>
        <v>Oct - Dec 2020</v>
      </c>
      <c r="J11" s="108" t="str">
        <f>"Jan - Mar "&amp;$H$4</f>
        <v>Jan - Mar 2021</v>
      </c>
      <c r="K11" s="108" t="str">
        <f>"Apr - Jun "&amp;$H$4</f>
        <v>Apr - Jun 2021</v>
      </c>
      <c r="M11" s="145" t="s">
        <v>301</v>
      </c>
    </row>
    <row r="12" spans="1:13" s="22" customFormat="1" ht="15" hidden="1" customHeight="1">
      <c r="A12" s="102" t="s">
        <v>460</v>
      </c>
      <c r="B12" s="103"/>
      <c r="C12" s="91" t="s">
        <v>162</v>
      </c>
      <c r="D12" s="104" t="str">
        <f>"Oct 30, "&amp;$G$4-1</f>
        <v>Oct 30, 2019</v>
      </c>
      <c r="E12" s="104" t="str">
        <f>"Jan 30, "&amp;$G$4</f>
        <v>Jan 30, 2020</v>
      </c>
      <c r="F12" s="104" t="str">
        <f>"Apr 30, "&amp;$G$4</f>
        <v>Apr 30, 2020</v>
      </c>
      <c r="G12" s="104" t="str">
        <f>"Jul 30, "&amp;$G$4</f>
        <v>Jul 30, 2020</v>
      </c>
      <c r="H12" s="104" t="str">
        <f>"Oct 30, "&amp;$H$4-1</f>
        <v>Oct 30, 2020</v>
      </c>
      <c r="I12" s="104" t="str">
        <f>"Jan 30, "&amp;$H$4</f>
        <v>Jan 30, 2021</v>
      </c>
      <c r="J12" s="104" t="str">
        <f>"Apr 30, "&amp;$H$4</f>
        <v>Apr 30, 2021</v>
      </c>
      <c r="K12" s="104" t="str">
        <f>"Jul 30, "&amp;$H$4</f>
        <v>Jul 30, 2021</v>
      </c>
      <c r="M12" s="145" t="s">
        <v>301</v>
      </c>
    </row>
    <row r="13" spans="1:13" s="22" customFormat="1" ht="15" hidden="1" customHeight="1" thickBot="1">
      <c r="A13" s="102"/>
      <c r="B13" s="105"/>
      <c r="C13" s="91" t="s">
        <v>158</v>
      </c>
      <c r="D13" s="106" t="s">
        <v>159</v>
      </c>
      <c r="E13" s="107" t="s">
        <v>159</v>
      </c>
      <c r="F13" s="107" t="s">
        <v>159</v>
      </c>
      <c r="G13" s="107" t="s">
        <v>159</v>
      </c>
      <c r="H13" s="106" t="s">
        <v>159</v>
      </c>
      <c r="I13" s="107" t="s">
        <v>159</v>
      </c>
      <c r="J13" s="107" t="s">
        <v>159</v>
      </c>
      <c r="K13" s="107" t="s">
        <v>159</v>
      </c>
      <c r="M13" s="145" t="s">
        <v>301</v>
      </c>
    </row>
    <row r="14" spans="1:13" s="22" customFormat="1" ht="15" customHeight="1" thickTop="1">
      <c r="A14" s="113" t="s">
        <v>276</v>
      </c>
      <c r="B14" s="101" t="s">
        <v>167</v>
      </c>
      <c r="C14" s="110" t="s">
        <v>163</v>
      </c>
      <c r="D14" s="111" t="str">
        <f>"Apr - Jun "&amp;$G$4-1</f>
        <v>Apr - Jun 2019</v>
      </c>
      <c r="E14" s="111" t="str">
        <f>"Jul - Sep "&amp;$G$4-1</f>
        <v>Jul - Sep 2019</v>
      </c>
      <c r="F14" s="111" t="str">
        <f>"Oct - Dec "&amp;$G$4-1</f>
        <v>Oct - Dec 2019</v>
      </c>
      <c r="G14" s="111" t="str">
        <f>"Jan - Mar "&amp;$G$4</f>
        <v>Jan - Mar 2020</v>
      </c>
      <c r="H14" s="288" t="str">
        <f>"Apr - Jun "&amp;$H$4-1</f>
        <v>Apr - Jun 2020</v>
      </c>
      <c r="I14" s="111" t="str">
        <f>"Jul - Sep "&amp;$H$4-1</f>
        <v>Jul - Sep 2020</v>
      </c>
      <c r="J14" s="296" t="str">
        <f>"Oct - Dec "&amp;$H$4-1</f>
        <v>Oct - Dec 2020</v>
      </c>
      <c r="K14" s="111" t="str">
        <f>"Jan - Mar "&amp;$H$4</f>
        <v>Jan - Mar 2021</v>
      </c>
    </row>
    <row r="15" spans="1:13" s="22" customFormat="1" ht="15" customHeight="1">
      <c r="A15" s="114" t="s">
        <v>278</v>
      </c>
      <c r="B15" s="101"/>
      <c r="C15" s="91" t="s">
        <v>164</v>
      </c>
      <c r="D15" s="112" t="str">
        <f>"Oct 31, "&amp;$G$4-1</f>
        <v>Oct 31, 2019</v>
      </c>
      <c r="E15" s="112" t="str">
        <f>"Jan 31, "&amp;$G$4</f>
        <v>Jan 31, 2020</v>
      </c>
      <c r="F15" s="112" t="str">
        <f>"Apr 30, "&amp;$G$4</f>
        <v>Apr 30, 2020</v>
      </c>
      <c r="G15" s="112" t="str">
        <f>"Jul 31, "&amp;$G$4</f>
        <v>Jul 31, 2020</v>
      </c>
      <c r="H15" s="289" t="str">
        <f>"Oct 31, "&amp;$H$4-1</f>
        <v>Oct 31, 2020</v>
      </c>
      <c r="I15" s="112" t="str">
        <f>"Jan 31, "&amp;$H$4</f>
        <v>Jan 31, 2021</v>
      </c>
      <c r="J15" s="297" t="str">
        <f>"Apr 30, "&amp;$H$4</f>
        <v>Apr 30, 2021</v>
      </c>
      <c r="K15" s="112" t="str">
        <f>"Jul 31, "&amp;$H$4</f>
        <v>Jul 31, 2021</v>
      </c>
    </row>
    <row r="16" spans="1:13" s="22" customFormat="1" ht="15" customHeight="1" thickBot="1">
      <c r="A16" s="102" t="s">
        <v>277</v>
      </c>
      <c r="B16" s="115"/>
      <c r="C16" s="91" t="s">
        <v>165</v>
      </c>
      <c r="D16" s="106" t="s">
        <v>166</v>
      </c>
      <c r="E16" s="106" t="s">
        <v>166</v>
      </c>
      <c r="F16" s="106" t="s">
        <v>166</v>
      </c>
      <c r="G16" s="106" t="s">
        <v>166</v>
      </c>
      <c r="H16" s="291" t="s">
        <v>166</v>
      </c>
      <c r="I16" s="106" t="s">
        <v>166</v>
      </c>
      <c r="J16" s="298" t="s">
        <v>166</v>
      </c>
      <c r="K16" s="106" t="s">
        <v>166</v>
      </c>
    </row>
    <row r="17" spans="1:13" s="22" customFormat="1" ht="15" customHeight="1" thickTop="1">
      <c r="A17" s="113" t="s">
        <v>279</v>
      </c>
      <c r="B17" s="116" t="s">
        <v>167</v>
      </c>
      <c r="C17" s="110" t="s">
        <v>163</v>
      </c>
      <c r="D17" s="111" t="str">
        <f>"Apr - Jun "&amp;$G$4-1</f>
        <v>Apr - Jun 2019</v>
      </c>
      <c r="E17" s="111" t="str">
        <f>"Jul - Sep "&amp;$G$4-1</f>
        <v>Jul - Sep 2019</v>
      </c>
      <c r="F17" s="111" t="str">
        <f>"Oct - Dec "&amp;$G$4-1</f>
        <v>Oct - Dec 2019</v>
      </c>
      <c r="G17" s="111" t="str">
        <f>"Jan - Mar "&amp;$G$4</f>
        <v>Jan - Mar 2020</v>
      </c>
      <c r="H17" s="288" t="str">
        <f>"Apr - Jun "&amp;$H$4-1</f>
        <v>Apr - Jun 2020</v>
      </c>
      <c r="I17" s="111" t="str">
        <f>"Jul - Sep "&amp;$H$4-1</f>
        <v>Jul - Sep 2020</v>
      </c>
      <c r="J17" s="296" t="str">
        <f>"Oct - Dec "&amp;$H$4-1</f>
        <v>Oct - Dec 2020</v>
      </c>
      <c r="K17" s="111" t="str">
        <f>"Jan - Mar "&amp;$H$4</f>
        <v>Jan - Mar 2021</v>
      </c>
    </row>
    <row r="18" spans="1:13" s="22" customFormat="1" ht="15" customHeight="1">
      <c r="A18" s="102" t="s">
        <v>280</v>
      </c>
      <c r="B18" s="103"/>
      <c r="C18" s="91" t="s">
        <v>164</v>
      </c>
      <c r="D18" s="112" t="str">
        <f>"Oct 31, "&amp;$G$4-1</f>
        <v>Oct 31, 2019</v>
      </c>
      <c r="E18" s="112" t="str">
        <f>"Jan 31, "&amp;$G$4</f>
        <v>Jan 31, 2020</v>
      </c>
      <c r="F18" s="112" t="str">
        <f>"Apr 30, "&amp;$G$4</f>
        <v>Apr 30, 2020</v>
      </c>
      <c r="G18" s="112" t="str">
        <f>"Jul 31, "&amp;$G$4</f>
        <v>Jul 31, 2020</v>
      </c>
      <c r="H18" s="289" t="str">
        <f>"Oct 31, "&amp;$H$4-1</f>
        <v>Oct 31, 2020</v>
      </c>
      <c r="I18" s="112" t="str">
        <f>"Jan 31, "&amp;$H$4</f>
        <v>Jan 31, 2021</v>
      </c>
      <c r="J18" s="297" t="str">
        <f>"Apr 30, "&amp;$H$4</f>
        <v>Apr 30, 2021</v>
      </c>
      <c r="K18" s="112" t="str">
        <f>"Jul 31, "&amp;$H$4</f>
        <v>Jul 31, 2021</v>
      </c>
    </row>
    <row r="19" spans="1:13" s="22" customFormat="1" ht="15" customHeight="1" thickBot="1">
      <c r="A19" s="102" t="s">
        <v>281</v>
      </c>
      <c r="B19" s="115"/>
      <c r="C19" s="91" t="s">
        <v>165</v>
      </c>
      <c r="D19" s="106" t="s">
        <v>168</v>
      </c>
      <c r="E19" s="106" t="s">
        <v>168</v>
      </c>
      <c r="F19" s="106" t="s">
        <v>168</v>
      </c>
      <c r="G19" s="106" t="s">
        <v>168</v>
      </c>
      <c r="H19" s="291" t="s">
        <v>168</v>
      </c>
      <c r="I19" s="112" t="s">
        <v>168</v>
      </c>
      <c r="J19" s="298" t="s">
        <v>168</v>
      </c>
      <c r="K19" s="106" t="s">
        <v>168</v>
      </c>
    </row>
    <row r="20" spans="1:13" s="22" customFormat="1" ht="15" hidden="1" customHeight="1" thickTop="1">
      <c r="A20" s="117" t="s">
        <v>282</v>
      </c>
      <c r="B20" s="116" t="s">
        <v>169</v>
      </c>
      <c r="C20" s="118" t="s">
        <v>161</v>
      </c>
      <c r="D20" s="108" t="str">
        <f>"Jul - Sep "&amp;$G$4-1</f>
        <v>Jul - Sep 2019</v>
      </c>
      <c r="E20" s="108" t="str">
        <f>"Oct - Dec "&amp;$G$4-1</f>
        <v>Oct - Dec 2019</v>
      </c>
      <c r="F20" s="108" t="str">
        <f>"Jan - Mar "&amp;$G$4</f>
        <v>Jan - Mar 2020</v>
      </c>
      <c r="G20" s="108" t="str">
        <f>"Apr - Jun "&amp;$G$4</f>
        <v>Apr - Jun 2020</v>
      </c>
      <c r="H20" s="108" t="str">
        <f>"Jul - Sep "&amp;$H$4-1</f>
        <v>Jul - Sep 2020</v>
      </c>
      <c r="I20" s="306" t="str">
        <f>"Oct - Dec "&amp;$H$4-1</f>
        <v>Oct - Dec 2020</v>
      </c>
      <c r="J20" s="108" t="str">
        <f>"Jan - Mar "&amp;$H$4</f>
        <v>Jan - Mar 2021</v>
      </c>
      <c r="K20" s="108" t="str">
        <f>"Apr - Jun "&amp;$H$4</f>
        <v>Apr - Jun 2021</v>
      </c>
      <c r="M20" s="145" t="s">
        <v>301</v>
      </c>
    </row>
    <row r="21" spans="1:13" s="22" customFormat="1" ht="15" hidden="1" customHeight="1">
      <c r="A21" s="102" t="s">
        <v>283</v>
      </c>
      <c r="B21" s="216" t="s">
        <v>170</v>
      </c>
      <c r="C21" s="91" t="s">
        <v>157</v>
      </c>
      <c r="D21" s="112" t="str">
        <f>"Oct 31, "&amp;$G$4-1</f>
        <v>Oct 31, 2019</v>
      </c>
      <c r="E21" s="112" t="str">
        <f>"Jan 31, "&amp;$G$4</f>
        <v>Jan 31, 2020</v>
      </c>
      <c r="F21" s="112" t="str">
        <f>"Apr 30, "&amp;$G$4</f>
        <v>Apr 30, 2020</v>
      </c>
      <c r="G21" s="112" t="str">
        <f>"Jul 31, "&amp;$G$4</f>
        <v>Jul 31, 2020</v>
      </c>
      <c r="H21" s="112" t="str">
        <f>"Oct 31, "&amp;$H$4-1</f>
        <v>Oct 31, 2020</v>
      </c>
      <c r="I21" s="112" t="str">
        <f>"Jan 31, "&amp;$H$4</f>
        <v>Jan 31, 2021</v>
      </c>
      <c r="J21" s="112" t="str">
        <f>"Apr 30, "&amp;$H$4</f>
        <v>Apr 30, 2021</v>
      </c>
      <c r="K21" s="112" t="str">
        <f>"Jul 31, "&amp;$H$4</f>
        <v>Jul 31, 2021</v>
      </c>
      <c r="M21" s="145" t="s">
        <v>301</v>
      </c>
    </row>
    <row r="22" spans="1:13" s="22" customFormat="1" ht="15" hidden="1" customHeight="1" thickBot="1">
      <c r="A22" s="101" t="s">
        <v>171</v>
      </c>
      <c r="B22" s="103"/>
      <c r="C22" s="91" t="s">
        <v>172</v>
      </c>
      <c r="D22" s="106" t="s">
        <v>173</v>
      </c>
      <c r="E22" s="106" t="s">
        <v>173</v>
      </c>
      <c r="F22" s="106" t="s">
        <v>173</v>
      </c>
      <c r="G22" s="106" t="s">
        <v>173</v>
      </c>
      <c r="H22" s="106" t="s">
        <v>173</v>
      </c>
      <c r="I22" s="106" t="s">
        <v>173</v>
      </c>
      <c r="J22" s="106" t="s">
        <v>173</v>
      </c>
      <c r="K22" s="106" t="s">
        <v>173</v>
      </c>
      <c r="M22" s="145" t="s">
        <v>301</v>
      </c>
    </row>
    <row r="23" spans="1:13" s="22" customFormat="1" ht="15" hidden="1" customHeight="1" thickTop="1">
      <c r="A23" s="109" t="s">
        <v>284</v>
      </c>
      <c r="B23" s="116" t="s">
        <v>174</v>
      </c>
      <c r="C23" s="110" t="s">
        <v>163</v>
      </c>
      <c r="D23" s="111" t="str">
        <f>"Apr - Jun "&amp;$G$4-1</f>
        <v>Apr - Jun 2019</v>
      </c>
      <c r="E23" s="111" t="str">
        <f>"Jul - Sep "&amp;$G$4-1</f>
        <v>Jul - Sep 2019</v>
      </c>
      <c r="F23" s="111" t="str">
        <f>"Oct - Dec "&amp;$G$4-1</f>
        <v>Oct - Dec 2019</v>
      </c>
      <c r="G23" s="111" t="str">
        <f>"Jan - Mar "&amp;$G$4</f>
        <v>Jan - Mar 2020</v>
      </c>
      <c r="H23" s="111" t="str">
        <f>"Apr - Jun "&amp;$H$4-1</f>
        <v>Apr - Jun 2020</v>
      </c>
      <c r="I23" s="111" t="str">
        <f>"Jul - Sep "&amp;$H$4-1</f>
        <v>Jul - Sep 2020</v>
      </c>
      <c r="J23" s="111" t="str">
        <f>"Oct - Dec "&amp;$H$4-1</f>
        <v>Oct - Dec 2020</v>
      </c>
      <c r="K23" s="111" t="str">
        <f>"Jan - Mar "&amp;$H$4</f>
        <v>Jan - Mar 2021</v>
      </c>
      <c r="M23" s="145" t="s">
        <v>301</v>
      </c>
    </row>
    <row r="24" spans="1:13" s="22" customFormat="1" ht="15" hidden="1" customHeight="1">
      <c r="A24" s="216" t="s">
        <v>175</v>
      </c>
      <c r="B24" s="101"/>
      <c r="C24" s="47" t="s">
        <v>157</v>
      </c>
      <c r="D24" s="112" t="str">
        <f>"Oct 31, "&amp;$G$4-1</f>
        <v>Oct 31, 2019</v>
      </c>
      <c r="E24" s="112" t="str">
        <f>"Jan 31, "&amp;$G$4</f>
        <v>Jan 31, 2020</v>
      </c>
      <c r="F24" s="112" t="str">
        <f>"Apr 30, "&amp;$G$4</f>
        <v>Apr 30, 2020</v>
      </c>
      <c r="G24" s="112" t="str">
        <f>"Jul 31, "&amp;$G$4</f>
        <v>Jul 31, 2020</v>
      </c>
      <c r="H24" s="112" t="str">
        <f>"Oct 31, "&amp;$H$4-1</f>
        <v>Oct 31, 2020</v>
      </c>
      <c r="I24" s="112" t="str">
        <f>"Jan 31, "&amp;$H$4</f>
        <v>Jan 31, 2021</v>
      </c>
      <c r="J24" s="112" t="str">
        <f>"Apr 30, "&amp;$H$4</f>
        <v>Apr 30, 2021</v>
      </c>
      <c r="K24" s="112" t="str">
        <f>"Jul 31, "&amp;$H$4</f>
        <v>Jul 31, 2021</v>
      </c>
      <c r="M24" s="145" t="s">
        <v>301</v>
      </c>
    </row>
    <row r="25" spans="1:13" s="22" customFormat="1" ht="15" hidden="1" customHeight="1" thickBot="1">
      <c r="A25" s="102"/>
      <c r="B25" s="105"/>
      <c r="C25" s="47" t="s">
        <v>158</v>
      </c>
      <c r="D25" s="106" t="s">
        <v>166</v>
      </c>
      <c r="E25" s="106" t="s">
        <v>166</v>
      </c>
      <c r="F25" s="106" t="s">
        <v>166</v>
      </c>
      <c r="G25" s="106" t="s">
        <v>166</v>
      </c>
      <c r="H25" s="106" t="s">
        <v>166</v>
      </c>
      <c r="I25" s="112" t="s">
        <v>166</v>
      </c>
      <c r="J25" s="106" t="s">
        <v>166</v>
      </c>
      <c r="K25" s="106" t="s">
        <v>166</v>
      </c>
      <c r="M25" s="145" t="s">
        <v>301</v>
      </c>
    </row>
    <row r="26" spans="1:13" ht="15" customHeight="1" thickTop="1">
      <c r="A26" s="117" t="s">
        <v>282</v>
      </c>
      <c r="B26" s="120" t="s">
        <v>167</v>
      </c>
      <c r="C26" s="110" t="s">
        <v>163</v>
      </c>
      <c r="D26" s="111" t="str">
        <f>"Apr - Jun "&amp;$G$4-1</f>
        <v>Apr - Jun 2019</v>
      </c>
      <c r="E26" s="111" t="str">
        <f>"Jul - Sep "&amp;$G$4-1</f>
        <v>Jul - Sep 2019</v>
      </c>
      <c r="F26" s="111" t="str">
        <f>"Oct - Dec "&amp;$G$4-1</f>
        <v>Oct - Dec 2019</v>
      </c>
      <c r="G26" s="111" t="str">
        <f>"Jan - Mar "&amp;$G$4</f>
        <v>Jan - Mar 2020</v>
      </c>
      <c r="H26" s="288" t="str">
        <f>"Apr - Jun "&amp;$H$4-1</f>
        <v>Apr - Jun 2020</v>
      </c>
      <c r="I26" s="305" t="str">
        <f>"Jul - Sep "&amp;$H$4-1</f>
        <v>Jul - Sep 2020</v>
      </c>
      <c r="J26" s="296" t="str">
        <f>"Oct - Dec "&amp;$H$4-1</f>
        <v>Oct - Dec 2020</v>
      </c>
      <c r="K26" s="111" t="str">
        <f>"Jan - Mar "&amp;$H$4</f>
        <v>Jan - Mar 2021</v>
      </c>
    </row>
    <row r="27" spans="1:13" ht="15" customHeight="1">
      <c r="A27" s="121" t="s">
        <v>285</v>
      </c>
      <c r="B27" s="122"/>
      <c r="C27" s="91" t="s">
        <v>164</v>
      </c>
      <c r="D27" s="112" t="str">
        <f>"Oct 31, "&amp;$G$4-1</f>
        <v>Oct 31, 2019</v>
      </c>
      <c r="E27" s="112" t="str">
        <f>"Jan 31, "&amp;$G$4</f>
        <v>Jan 31, 2020</v>
      </c>
      <c r="F27" s="112" t="str">
        <f>"Apr 30, "&amp;$G$4</f>
        <v>Apr 30, 2020</v>
      </c>
      <c r="G27" s="112" t="str">
        <f>"Jul 31, "&amp;$G$4</f>
        <v>Jul 31, 2020</v>
      </c>
      <c r="H27" s="289" t="str">
        <f>"Oct 31, "&amp;$H$4-1</f>
        <v>Oct 31, 2020</v>
      </c>
      <c r="I27" s="112" t="str">
        <f>"Jan 31, "&amp;$H$4</f>
        <v>Jan 31, 2021</v>
      </c>
      <c r="J27" s="297" t="str">
        <f>"Apr 30, "&amp;$H$4</f>
        <v>Apr 30, 2021</v>
      </c>
      <c r="K27" s="112" t="str">
        <f>"Jul 31, "&amp;$H$4</f>
        <v>Jul 31, 2021</v>
      </c>
    </row>
    <row r="28" spans="1:13" ht="15" customHeight="1" thickBot="1">
      <c r="A28" s="123" t="s">
        <v>286</v>
      </c>
      <c r="B28" s="124"/>
      <c r="C28" s="91" t="s">
        <v>165</v>
      </c>
      <c r="D28" s="106" t="s">
        <v>166</v>
      </c>
      <c r="E28" s="106" t="s">
        <v>166</v>
      </c>
      <c r="F28" s="106" t="s">
        <v>166</v>
      </c>
      <c r="G28" s="106" t="s">
        <v>166</v>
      </c>
      <c r="H28" s="291" t="s">
        <v>166</v>
      </c>
      <c r="I28" s="106" t="s">
        <v>166</v>
      </c>
      <c r="J28" s="298" t="s">
        <v>166</v>
      </c>
      <c r="K28" s="106" t="s">
        <v>166</v>
      </c>
    </row>
    <row r="29" spans="1:13" ht="15" customHeight="1" thickTop="1">
      <c r="A29" s="119" t="s">
        <v>287</v>
      </c>
      <c r="B29" s="120" t="s">
        <v>167</v>
      </c>
      <c r="C29" s="110" t="s">
        <v>163</v>
      </c>
      <c r="D29" s="111" t="str">
        <f>"Apr - Jun "&amp;$G$4-1</f>
        <v>Apr - Jun 2019</v>
      </c>
      <c r="E29" s="111" t="str">
        <f>"Jul - Sep "&amp;$G$4-1</f>
        <v>Jul - Sep 2019</v>
      </c>
      <c r="F29" s="111" t="str">
        <f>"Oct - Dec "&amp;$G$4-1</f>
        <v>Oct - Dec 2019</v>
      </c>
      <c r="G29" s="111" t="str">
        <f>"Jan - Mar "&amp;$G$4</f>
        <v>Jan - Mar 2020</v>
      </c>
      <c r="H29" s="288" t="str">
        <f>"Apr - Jun "&amp;$H$4-1</f>
        <v>Apr - Jun 2020</v>
      </c>
      <c r="I29" s="111" t="str">
        <f>"Jul - Sep "&amp;$H$4-1</f>
        <v>Jul - Sep 2020</v>
      </c>
      <c r="J29" s="296" t="str">
        <f>"Oct - Dec "&amp;$H$4-1</f>
        <v>Oct - Dec 2020</v>
      </c>
      <c r="K29" s="111" t="str">
        <f>"Jan - Mar "&amp;$H$4</f>
        <v>Jan - Mar 2021</v>
      </c>
    </row>
    <row r="30" spans="1:13" ht="15" customHeight="1">
      <c r="A30" s="121"/>
      <c r="B30" s="122"/>
      <c r="C30" s="91" t="s">
        <v>164</v>
      </c>
      <c r="D30" s="112" t="str">
        <f>"Oct 31, "&amp;$G$4-1</f>
        <v>Oct 31, 2019</v>
      </c>
      <c r="E30" s="112" t="str">
        <f>"Jan 31, "&amp;$G$4</f>
        <v>Jan 31, 2020</v>
      </c>
      <c r="F30" s="112" t="str">
        <f>"Apr 30, "&amp;$G$4</f>
        <v>Apr 30, 2020</v>
      </c>
      <c r="G30" s="112" t="str">
        <f>"Jul 31, "&amp;$G$4</f>
        <v>Jul 31, 2020</v>
      </c>
      <c r="H30" s="289" t="str">
        <f>"Oct 31, "&amp;$H$4-1</f>
        <v>Oct 31, 2020</v>
      </c>
      <c r="I30" s="112" t="str">
        <f>"Jan 31, "&amp;$H$4</f>
        <v>Jan 31, 2021</v>
      </c>
      <c r="J30" s="297" t="str">
        <f>"Apr 30, "&amp;$H$4</f>
        <v>Apr 30, 2021</v>
      </c>
      <c r="K30" s="112" t="str">
        <f>"Jul 31, "&amp;$H$4</f>
        <v>Jul 31, 2021</v>
      </c>
    </row>
    <row r="31" spans="1:13" ht="15" customHeight="1" thickBot="1">
      <c r="A31" s="123"/>
      <c r="B31" s="124"/>
      <c r="C31" s="91" t="s">
        <v>165</v>
      </c>
      <c r="D31" s="126" t="s">
        <v>176</v>
      </c>
      <c r="E31" s="106" t="s">
        <v>176</v>
      </c>
      <c r="F31" s="106" t="s">
        <v>176</v>
      </c>
      <c r="G31" s="106" t="s">
        <v>176</v>
      </c>
      <c r="H31" s="290" t="s">
        <v>176</v>
      </c>
      <c r="I31" s="112" t="s">
        <v>176</v>
      </c>
      <c r="J31" s="298" t="s">
        <v>176</v>
      </c>
      <c r="K31" s="106" t="s">
        <v>176</v>
      </c>
    </row>
    <row r="32" spans="1:13" ht="15" hidden="1" customHeight="1" thickTop="1">
      <c r="A32" s="119" t="s">
        <v>288</v>
      </c>
      <c r="B32" s="220" t="s">
        <v>169</v>
      </c>
      <c r="C32" s="110" t="s">
        <v>163</v>
      </c>
      <c r="D32" s="111" t="str">
        <f>"Apr - Jun "&amp;$G$4-1</f>
        <v>Apr - Jun 2019</v>
      </c>
      <c r="E32" s="111" t="str">
        <f>"Jul - Sep "&amp;$G$4-1</f>
        <v>Jul - Sep 2019</v>
      </c>
      <c r="F32" s="111" t="str">
        <f>"Oct - Dec "&amp;$G$4-1</f>
        <v>Oct - Dec 2019</v>
      </c>
      <c r="G32" s="111" t="str">
        <f>"Jan - Mar "&amp;$G$4</f>
        <v>Jan - Mar 2020</v>
      </c>
      <c r="H32" s="111" t="str">
        <f>"Apr - Jun "&amp;$H$4-1</f>
        <v>Apr - Jun 2020</v>
      </c>
      <c r="I32" s="305" t="str">
        <f>"Jul - Sep "&amp;$H$4-1</f>
        <v>Jul - Sep 2020</v>
      </c>
      <c r="J32" s="111" t="str">
        <f>"Oct - Dec "&amp;$H$4-1</f>
        <v>Oct - Dec 2020</v>
      </c>
      <c r="K32" s="111" t="str">
        <f>"Jan - Mar "&amp;$H$4</f>
        <v>Jan - Mar 2021</v>
      </c>
      <c r="M32" s="145" t="s">
        <v>301</v>
      </c>
    </row>
    <row r="33" spans="1:13" ht="15" hidden="1" customHeight="1">
      <c r="A33" s="121" t="s">
        <v>290</v>
      </c>
      <c r="B33" s="221" t="s">
        <v>170</v>
      </c>
      <c r="C33" s="91" t="s">
        <v>164</v>
      </c>
      <c r="D33" s="112" t="str">
        <f>"Oct 31, "&amp;$G$4-1</f>
        <v>Oct 31, 2019</v>
      </c>
      <c r="E33" s="112" t="str">
        <f>"Jan 31, "&amp;$G$4</f>
        <v>Jan 31, 2020</v>
      </c>
      <c r="F33" s="112" t="str">
        <f>"Apr 30, "&amp;$G$4</f>
        <v>Apr 30, 2020</v>
      </c>
      <c r="G33" s="112" t="str">
        <f>"Jul 31, "&amp;$G$4</f>
        <v>Jul 31, 2020</v>
      </c>
      <c r="H33" s="112" t="str">
        <f>"Oct 31, "&amp;$H$4-1</f>
        <v>Oct 31, 2020</v>
      </c>
      <c r="I33" s="112" t="str">
        <f>"Jan 31, "&amp;$H$4</f>
        <v>Jan 31, 2021</v>
      </c>
      <c r="J33" s="112" t="str">
        <f>"Apr 30, "&amp;$H$4</f>
        <v>Apr 30, 2021</v>
      </c>
      <c r="K33" s="112" t="str">
        <f>"Jul 31, "&amp;$H$4</f>
        <v>Jul 31, 2021</v>
      </c>
      <c r="M33" s="145" t="s">
        <v>301</v>
      </c>
    </row>
    <row r="34" spans="1:13" ht="15" hidden="1" customHeight="1" thickBot="1">
      <c r="A34" s="121"/>
      <c r="B34" s="124"/>
      <c r="C34" s="91" t="s">
        <v>165</v>
      </c>
      <c r="D34" s="126" t="s">
        <v>176</v>
      </c>
      <c r="E34" s="106" t="s">
        <v>176</v>
      </c>
      <c r="F34" s="106" t="s">
        <v>176</v>
      </c>
      <c r="G34" s="106" t="s">
        <v>176</v>
      </c>
      <c r="H34" s="126" t="s">
        <v>176</v>
      </c>
      <c r="I34" s="106" t="s">
        <v>176</v>
      </c>
      <c r="J34" s="106" t="s">
        <v>176</v>
      </c>
      <c r="K34" s="106" t="s">
        <v>176</v>
      </c>
      <c r="M34" s="145" t="s">
        <v>301</v>
      </c>
    </row>
    <row r="35" spans="1:13" ht="15" hidden="1" customHeight="1" thickTop="1">
      <c r="A35" s="119" t="s">
        <v>292</v>
      </c>
      <c r="B35" s="120" t="s">
        <v>169</v>
      </c>
      <c r="C35" s="110" t="s">
        <v>177</v>
      </c>
      <c r="D35" s="127" t="str">
        <f>"Jan - Mar "&amp;$G$4-1</f>
        <v>Jan - Mar 2019</v>
      </c>
      <c r="E35" s="127" t="str">
        <f>"Apr - Jun "&amp;$G$4-1</f>
        <v>Apr - Jun 2019</v>
      </c>
      <c r="F35" s="127" t="str">
        <f>"Jul - Sep "&amp;$G$4-1</f>
        <v>Jul - Sep 2019</v>
      </c>
      <c r="G35" s="127" t="str">
        <f>"Oct - Dec "&amp;$G$4-1</f>
        <v>Oct - Dec 2019</v>
      </c>
      <c r="H35" s="127" t="str">
        <f>"Jan - Mar "&amp;$H$4-1</f>
        <v>Jan - Mar 2020</v>
      </c>
      <c r="I35" s="127" t="str">
        <f>"Apr - Jun "&amp;$H$4-1</f>
        <v>Apr - Jun 2020</v>
      </c>
      <c r="J35" s="127" t="str">
        <f>"Jul - Sep "&amp;$H$4-1</f>
        <v>Jul - Sep 2020</v>
      </c>
      <c r="K35" s="127" t="str">
        <f>"Oct - Dec "&amp;$H$4-1</f>
        <v>Oct - Dec 2020</v>
      </c>
      <c r="M35" s="145" t="s">
        <v>301</v>
      </c>
    </row>
    <row r="36" spans="1:13" ht="15" hidden="1" customHeight="1">
      <c r="A36" s="121" t="s">
        <v>291</v>
      </c>
      <c r="B36" s="216" t="s">
        <v>170</v>
      </c>
      <c r="C36" s="91" t="s">
        <v>157</v>
      </c>
      <c r="D36" s="112" t="str">
        <f>"Oct 31, "&amp;$G$4-1</f>
        <v>Oct 31, 2019</v>
      </c>
      <c r="E36" s="112" t="str">
        <f>"Jan 31, "&amp;$G$4</f>
        <v>Jan 31, 2020</v>
      </c>
      <c r="F36" s="112" t="str">
        <f>"Apr 30, "&amp;$G$4</f>
        <v>Apr 30, 2020</v>
      </c>
      <c r="G36" s="112" t="str">
        <f>"Jul 31, "&amp;$G$4</f>
        <v>Jul 31, 2020</v>
      </c>
      <c r="H36" s="112" t="str">
        <f>"Oct 31, "&amp;$H$4-1</f>
        <v>Oct 31, 2020</v>
      </c>
      <c r="I36" s="112" t="str">
        <f>"Jan 31, "&amp;$H$4</f>
        <v>Jan 31, 2021</v>
      </c>
      <c r="J36" s="112" t="str">
        <f>"Apr 30, "&amp;$H$4</f>
        <v>Apr 30, 2021</v>
      </c>
      <c r="K36" s="112" t="str">
        <f>"Jul 31, "&amp;$H$4</f>
        <v>Jul 31, 2021</v>
      </c>
      <c r="M36" s="145" t="s">
        <v>301</v>
      </c>
    </row>
    <row r="37" spans="1:13" ht="15" hidden="1" customHeight="1" thickBot="1">
      <c r="A37" s="128"/>
      <c r="B37" s="129"/>
      <c r="C37" s="130" t="s">
        <v>178</v>
      </c>
      <c r="D37" s="107" t="s">
        <v>173</v>
      </c>
      <c r="E37" s="107" t="s">
        <v>173</v>
      </c>
      <c r="F37" s="107" t="s">
        <v>173</v>
      </c>
      <c r="G37" s="107" t="s">
        <v>173</v>
      </c>
      <c r="H37" s="107" t="s">
        <v>173</v>
      </c>
      <c r="I37" s="301" t="s">
        <v>173</v>
      </c>
      <c r="J37" s="107" t="s">
        <v>173</v>
      </c>
      <c r="K37" s="107" t="s">
        <v>173</v>
      </c>
      <c r="M37" s="145" t="s">
        <v>301</v>
      </c>
    </row>
    <row r="38" spans="1:13" ht="15" customHeight="1" thickTop="1">
      <c r="A38" s="119" t="s">
        <v>289</v>
      </c>
      <c r="B38" s="120" t="s">
        <v>167</v>
      </c>
      <c r="C38" s="110" t="s">
        <v>163</v>
      </c>
      <c r="D38" s="111" t="str">
        <f>"Apr - Jun "&amp;$G$4-1</f>
        <v>Apr - Jun 2019</v>
      </c>
      <c r="E38" s="111" t="str">
        <f>"Jul - Sep "&amp;$G$4-1</f>
        <v>Jul - Sep 2019</v>
      </c>
      <c r="F38" s="111" t="str">
        <f>"Oct - Dec "&amp;$G$4-1</f>
        <v>Oct - Dec 2019</v>
      </c>
      <c r="G38" s="111" t="str">
        <f>"Jan - Mar "&amp;$G$4</f>
        <v>Jan - Mar 2020</v>
      </c>
      <c r="H38" s="288" t="str">
        <f>"Apr - Jun "&amp;$H$4-1</f>
        <v>Apr - Jun 2020</v>
      </c>
      <c r="I38" s="305" t="str">
        <f>"Jul - Sep "&amp;$H$4-1</f>
        <v>Jul - Sep 2020</v>
      </c>
      <c r="J38" s="296" t="str">
        <f>"Oct - Dec "&amp;$H$4-1</f>
        <v>Oct - Dec 2020</v>
      </c>
      <c r="K38" s="111" t="str">
        <f>"Jan - Mar "&amp;$H$4</f>
        <v>Jan - Mar 2021</v>
      </c>
    </row>
    <row r="39" spans="1:13" ht="15" customHeight="1">
      <c r="A39" s="121" t="s">
        <v>293</v>
      </c>
      <c r="B39" s="122"/>
      <c r="C39" s="91" t="s">
        <v>164</v>
      </c>
      <c r="D39" s="112" t="str">
        <f>"Oct 31, "&amp;$G$4-1</f>
        <v>Oct 31, 2019</v>
      </c>
      <c r="E39" s="112" t="str">
        <f>"Jan 31, "&amp;$G$4</f>
        <v>Jan 31, 2020</v>
      </c>
      <c r="F39" s="112" t="str">
        <f>"Apr 30, "&amp;$G$4</f>
        <v>Apr 30, 2020</v>
      </c>
      <c r="G39" s="112" t="str">
        <f>"Jul 31, "&amp;$G$4</f>
        <v>Jul 31, 2020</v>
      </c>
      <c r="H39" s="289" t="str">
        <f>"Oct 31, "&amp;$H$4-1</f>
        <v>Oct 31, 2020</v>
      </c>
      <c r="I39" s="112" t="str">
        <f>"Jan 31, "&amp;$H$4</f>
        <v>Jan 31, 2021</v>
      </c>
      <c r="J39" s="297" t="str">
        <f>"Apr 30, "&amp;$H$4</f>
        <v>Apr 30, 2021</v>
      </c>
      <c r="K39" s="112" t="str">
        <f>"Jul 31, "&amp;$H$4</f>
        <v>Jul 31, 2021</v>
      </c>
    </row>
    <row r="40" spans="1:13" ht="15" customHeight="1" thickBot="1">
      <c r="A40" s="121"/>
      <c r="B40" s="124"/>
      <c r="C40" s="91" t="s">
        <v>165</v>
      </c>
      <c r="D40" s="126" t="s">
        <v>176</v>
      </c>
      <c r="E40" s="106" t="s">
        <v>176</v>
      </c>
      <c r="F40" s="106" t="s">
        <v>176</v>
      </c>
      <c r="G40" s="106" t="s">
        <v>176</v>
      </c>
      <c r="H40" s="290" t="s">
        <v>176</v>
      </c>
      <c r="I40" s="106" t="s">
        <v>176</v>
      </c>
      <c r="J40" s="298" t="s">
        <v>176</v>
      </c>
      <c r="K40" s="106" t="s">
        <v>176</v>
      </c>
    </row>
    <row r="41" spans="1:13" ht="15" customHeight="1" thickTop="1">
      <c r="A41" s="125" t="s">
        <v>294</v>
      </c>
      <c r="B41" s="120" t="s">
        <v>169</v>
      </c>
      <c r="C41" s="110" t="s">
        <v>163</v>
      </c>
      <c r="D41" s="111" t="str">
        <f>"Apr - Jun "&amp;$G$4-1</f>
        <v>Apr - Jun 2019</v>
      </c>
      <c r="E41" s="111" t="str">
        <f>"Jul - Sep "&amp;$G$4-1</f>
        <v>Jul - Sep 2019</v>
      </c>
      <c r="F41" s="111" t="str">
        <f>"Oct - Dec "&amp;$G$4-1</f>
        <v>Oct - Dec 2019</v>
      </c>
      <c r="G41" s="111" t="str">
        <f>"Jan - Mar "&amp;$G$4</f>
        <v>Jan - Mar 2020</v>
      </c>
      <c r="H41" s="288" t="str">
        <f>"Apr - Jun "&amp;$H$4-1</f>
        <v>Apr - Jun 2020</v>
      </c>
      <c r="I41" s="111" t="str">
        <f>"Jul - Sep "&amp;$H$4-1</f>
        <v>Jul - Sep 2020</v>
      </c>
      <c r="J41" s="296" t="str">
        <f>"Oct - Dec "&amp;$H$4-1</f>
        <v>Oct - Dec 2020</v>
      </c>
      <c r="K41" s="111" t="str">
        <f>"Jan - Mar "&amp;$H$4</f>
        <v>Jan - Mar 2021</v>
      </c>
    </row>
    <row r="42" spans="1:13" ht="15" customHeight="1">
      <c r="A42" s="121" t="s">
        <v>295</v>
      </c>
      <c r="B42" s="122" t="s">
        <v>167</v>
      </c>
      <c r="C42" s="91" t="s">
        <v>164</v>
      </c>
      <c r="D42" s="112" t="str">
        <f>"Oct 31, "&amp;$G$4-1</f>
        <v>Oct 31, 2019</v>
      </c>
      <c r="E42" s="112" t="str">
        <f>"Jan 31, "&amp;$G$4</f>
        <v>Jan 31, 2020</v>
      </c>
      <c r="F42" s="112" t="str">
        <f>"Apr 30, "&amp;$G$4</f>
        <v>Apr 30, 2020</v>
      </c>
      <c r="G42" s="112" t="str">
        <f>"Jul 31, "&amp;$G$4</f>
        <v>Jul 31, 2020</v>
      </c>
      <c r="H42" s="289" t="str">
        <f>"Oct 31, "&amp;$H$4-1</f>
        <v>Oct 31, 2020</v>
      </c>
      <c r="I42" s="112" t="str">
        <f>"Jan 31, "&amp;$H$4</f>
        <v>Jan 31, 2021</v>
      </c>
      <c r="J42" s="297" t="str">
        <f>"Apr 30, "&amp;$H$4</f>
        <v>Apr 30, 2021</v>
      </c>
      <c r="K42" s="112" t="str">
        <f>"Jul 31, "&amp;$H$4</f>
        <v>Jul 31, 2021</v>
      </c>
    </row>
    <row r="43" spans="1:13" ht="15" customHeight="1" thickBot="1">
      <c r="A43" s="121" t="s">
        <v>296</v>
      </c>
      <c r="B43" s="124"/>
      <c r="C43" s="91" t="s">
        <v>165</v>
      </c>
      <c r="D43" s="106" t="s">
        <v>166</v>
      </c>
      <c r="E43" s="106" t="s">
        <v>166</v>
      </c>
      <c r="F43" s="106" t="s">
        <v>166</v>
      </c>
      <c r="G43" s="106" t="s">
        <v>166</v>
      </c>
      <c r="H43" s="291" t="s">
        <v>166</v>
      </c>
      <c r="I43" s="106" t="s">
        <v>166</v>
      </c>
      <c r="J43" s="298" t="s">
        <v>166</v>
      </c>
      <c r="K43" s="106" t="s">
        <v>166</v>
      </c>
    </row>
    <row r="44" spans="1:13" ht="15" customHeight="1" thickTop="1">
      <c r="A44" s="119" t="s">
        <v>297</v>
      </c>
      <c r="B44" s="131" t="s">
        <v>167</v>
      </c>
      <c r="C44" s="110" t="s">
        <v>163</v>
      </c>
      <c r="D44" s="111" t="str">
        <f>"Apr - Jun "&amp;$G$4-1</f>
        <v>Apr - Jun 2019</v>
      </c>
      <c r="E44" s="111" t="str">
        <f>"Jul - Sep "&amp;$G$4-1</f>
        <v>Jul - Sep 2019</v>
      </c>
      <c r="F44" s="111" t="str">
        <f>"Oct - Dec "&amp;$G$4-1</f>
        <v>Oct - Dec 2019</v>
      </c>
      <c r="G44" s="111" t="str">
        <f>"Jan - Mar "&amp;$G$4</f>
        <v>Jan - Mar 2020</v>
      </c>
      <c r="H44" s="288" t="str">
        <f>"Apr - Jun "&amp;$H$4-1</f>
        <v>Apr - Jun 2020</v>
      </c>
      <c r="I44" s="111" t="str">
        <f>"Jul - Sep "&amp;$H$4-1</f>
        <v>Jul - Sep 2020</v>
      </c>
      <c r="J44" s="296" t="str">
        <f>"Oct - Dec "&amp;$H$4-1</f>
        <v>Oct - Dec 2020</v>
      </c>
      <c r="K44" s="111" t="str">
        <f>"Jan - Mar "&amp;$H$4</f>
        <v>Jan - Mar 2021</v>
      </c>
    </row>
    <row r="45" spans="1:13" ht="15" customHeight="1">
      <c r="A45" s="121" t="s">
        <v>298</v>
      </c>
      <c r="B45" s="132"/>
      <c r="C45" s="91" t="s">
        <v>164</v>
      </c>
      <c r="D45" s="112" t="str">
        <f>"Oct 31, "&amp;$G$4-1</f>
        <v>Oct 31, 2019</v>
      </c>
      <c r="E45" s="112" t="str">
        <f>"Jan 31, "&amp;$G$4</f>
        <v>Jan 31, 2020</v>
      </c>
      <c r="F45" s="112" t="str">
        <f>"Apr 30, "&amp;$G$4</f>
        <v>Apr 30, 2020</v>
      </c>
      <c r="G45" s="112" t="str">
        <f>"Jul 31, "&amp;$G$4</f>
        <v>Jul 31, 2020</v>
      </c>
      <c r="H45" s="289" t="str">
        <f>"Oct 31, "&amp;$H$4-1</f>
        <v>Oct 31, 2020</v>
      </c>
      <c r="I45" s="112" t="str">
        <f>"Jan 31, "&amp;$H$4</f>
        <v>Jan 31, 2021</v>
      </c>
      <c r="J45" s="297" t="str">
        <f>"Apr 30, "&amp;$H$4</f>
        <v>Apr 30, 2021</v>
      </c>
      <c r="K45" s="112" t="str">
        <f>"Jul 31, "&amp;$H$4</f>
        <v>Jul 31, 2021</v>
      </c>
    </row>
    <row r="46" spans="1:13" ht="15" customHeight="1" thickBot="1">
      <c r="A46" s="133"/>
      <c r="B46" s="124"/>
      <c r="C46" s="91" t="s">
        <v>165</v>
      </c>
      <c r="D46" s="106" t="s">
        <v>166</v>
      </c>
      <c r="E46" s="106" t="s">
        <v>166</v>
      </c>
      <c r="F46" s="106" t="s">
        <v>166</v>
      </c>
      <c r="G46" s="106" t="s">
        <v>166</v>
      </c>
      <c r="H46" s="291" t="s">
        <v>166</v>
      </c>
      <c r="I46" s="106" t="s">
        <v>166</v>
      </c>
      <c r="J46" s="298" t="s">
        <v>166</v>
      </c>
      <c r="K46" s="106" t="s">
        <v>166</v>
      </c>
    </row>
    <row r="47" spans="1:13" ht="15" customHeight="1" thickTop="1">
      <c r="A47" s="119" t="s">
        <v>299</v>
      </c>
      <c r="B47" s="131" t="s">
        <v>167</v>
      </c>
      <c r="C47" s="110" t="s">
        <v>163</v>
      </c>
      <c r="D47" s="111" t="str">
        <f>"Apr - Jun "&amp;$G$4-1</f>
        <v>Apr - Jun 2019</v>
      </c>
      <c r="E47" s="111" t="str">
        <f>"Jul - Sep "&amp;$G$4-1</f>
        <v>Jul - Sep 2019</v>
      </c>
      <c r="F47" s="111" t="str">
        <f>"Oct - Dec "&amp;$G$4-1</f>
        <v>Oct - Dec 2019</v>
      </c>
      <c r="G47" s="111" t="str">
        <f>"Jan - Mar "&amp;$G$4</f>
        <v>Jan - Mar 2020</v>
      </c>
      <c r="H47" s="288" t="str">
        <f>"Apr - Jun "&amp;$H$4-1</f>
        <v>Apr - Jun 2020</v>
      </c>
      <c r="I47" s="111" t="str">
        <f>"Jul - Sep "&amp;$H$4-1</f>
        <v>Jul - Sep 2020</v>
      </c>
      <c r="J47" s="296" t="str">
        <f>"Oct - Dec "&amp;$H$4-1</f>
        <v>Oct - Dec 2020</v>
      </c>
      <c r="K47" s="111" t="str">
        <f>"Jan - Mar "&amp;$H$4</f>
        <v>Jan - Mar 2021</v>
      </c>
    </row>
    <row r="48" spans="1:13" ht="15" customHeight="1">
      <c r="A48" s="121"/>
      <c r="B48" s="132"/>
      <c r="C48" s="91" t="s">
        <v>164</v>
      </c>
      <c r="D48" s="112" t="str">
        <f>"Oct 31, "&amp;$G$4-1</f>
        <v>Oct 31, 2019</v>
      </c>
      <c r="E48" s="112" t="str">
        <f>"Jan 31, "&amp;$G$4</f>
        <v>Jan 31, 2020</v>
      </c>
      <c r="F48" s="112" t="str">
        <f>"Apr 30, "&amp;$G$4</f>
        <v>Apr 30, 2020</v>
      </c>
      <c r="G48" s="112" t="str">
        <f>"Jul 31, "&amp;$G$4</f>
        <v>Jul 31, 2020</v>
      </c>
      <c r="H48" s="289" t="str">
        <f>"Oct 31, "&amp;$H$4-1</f>
        <v>Oct 31, 2020</v>
      </c>
      <c r="I48" s="112" t="str">
        <f>"Jan 31, "&amp;$H$4</f>
        <v>Jan 31, 2021</v>
      </c>
      <c r="J48" s="297" t="str">
        <f>"Apr 30, "&amp;$H$4</f>
        <v>Apr 30, 2021</v>
      </c>
      <c r="K48" s="112" t="str">
        <f>"Jul 31, "&amp;$H$4</f>
        <v>Jul 31, 2021</v>
      </c>
    </row>
    <row r="49" spans="1:13" ht="15" customHeight="1" thickBot="1">
      <c r="A49" s="133"/>
      <c r="B49" s="124"/>
      <c r="C49" s="91" t="s">
        <v>165</v>
      </c>
      <c r="D49" s="134" t="s">
        <v>166</v>
      </c>
      <c r="E49" s="134" t="s">
        <v>166</v>
      </c>
      <c r="F49" s="134" t="s">
        <v>166</v>
      </c>
      <c r="G49" s="134" t="s">
        <v>166</v>
      </c>
      <c r="H49" s="292" t="s">
        <v>166</v>
      </c>
      <c r="I49" s="112" t="s">
        <v>166</v>
      </c>
      <c r="J49" s="299" t="s">
        <v>166</v>
      </c>
      <c r="K49" s="134" t="s">
        <v>166</v>
      </c>
    </row>
    <row r="50" spans="1:13" ht="15" customHeight="1" thickTop="1">
      <c r="A50" s="119" t="s">
        <v>300</v>
      </c>
      <c r="B50" s="131" t="s">
        <v>179</v>
      </c>
      <c r="C50" s="110" t="s">
        <v>180</v>
      </c>
      <c r="D50" s="135" t="str">
        <f>"Jul "&amp;$G$4-2&amp;" - Jun "&amp;$G$4-1</f>
        <v>Jul 2018 - Jun 2019</v>
      </c>
      <c r="E50" s="135" t="str">
        <f>"Oct "&amp;$G$4-2&amp;" - Sep "&amp;$G$4-1</f>
        <v>Oct 2018 - Sep 2019</v>
      </c>
      <c r="F50" s="135" t="str">
        <f>"Jan "&amp;$G$4-1&amp;" - Dec "&amp;$G$4-1</f>
        <v>Jan 2019 - Dec 2019</v>
      </c>
      <c r="G50" s="135" t="str">
        <f>"Apr "&amp;$G$4-1&amp;" - Mar "&amp;$G$4</f>
        <v>Apr 2019 - Mar 2020</v>
      </c>
      <c r="H50" s="135" t="str">
        <f>"Jul "&amp;$H$4-2&amp;" - Jun "&amp;$H$4-1</f>
        <v>Jul 2019 - Jun 2020</v>
      </c>
      <c r="I50" s="135" t="str">
        <f>"Oct "&amp;$H$4-2&amp;" - Sep "&amp;$H$4-1</f>
        <v>Oct 2019 - Sep 2020</v>
      </c>
      <c r="J50" s="135" t="str">
        <f>"Jan "&amp;$H$4-1&amp;" - Dec "&amp;$H$4-1</f>
        <v>Jan 2020 - Dec 2020</v>
      </c>
      <c r="K50" s="135" t="str">
        <f>"Apr "&amp;$H$4-1&amp;" - Mar "&amp;$H$4</f>
        <v>Apr 2020 - Mar 2021</v>
      </c>
      <c r="M50" s="145"/>
    </row>
    <row r="51" spans="1:13" ht="15" customHeight="1">
      <c r="A51" s="123"/>
      <c r="B51" s="122" t="s">
        <v>167</v>
      </c>
      <c r="C51" s="91" t="s">
        <v>164</v>
      </c>
      <c r="D51" s="112" t="str">
        <f>"Oct 31, "&amp;$G$4-1</f>
        <v>Oct 31, 2019</v>
      </c>
      <c r="E51" s="112" t="str">
        <f>"Jan 31, "&amp;$G$4</f>
        <v>Jan 31, 2020</v>
      </c>
      <c r="F51" s="112" t="str">
        <f>"Apr 30, "&amp;$G$4</f>
        <v>Apr 30, 2020</v>
      </c>
      <c r="G51" s="112" t="str">
        <f>"Jul 31, "&amp;$G$4</f>
        <v>Jul 31, 2020</v>
      </c>
      <c r="H51" s="112" t="str">
        <f>"Oct 31, "&amp;$H$4-1</f>
        <v>Oct 31, 2020</v>
      </c>
      <c r="I51" s="112" t="str">
        <f>"Jan 31, "&amp;$H$4</f>
        <v>Jan 31, 2021</v>
      </c>
      <c r="J51" s="112" t="str">
        <f>"Apr 30, "&amp;$H$4</f>
        <v>Apr 30, 2021</v>
      </c>
      <c r="K51" s="112" t="str">
        <f>"Jul 31, "&amp;$H$4</f>
        <v>Jul 31, 2021</v>
      </c>
      <c r="M51" s="145"/>
    </row>
    <row r="52" spans="1:13" ht="15" customHeight="1">
      <c r="A52" s="136"/>
      <c r="B52" s="124"/>
      <c r="C52" s="91" t="s">
        <v>165</v>
      </c>
      <c r="D52" s="134" t="s">
        <v>166</v>
      </c>
      <c r="E52" s="134" t="s">
        <v>166</v>
      </c>
      <c r="F52" s="134" t="s">
        <v>166</v>
      </c>
      <c r="G52" s="134" t="s">
        <v>166</v>
      </c>
      <c r="H52" s="134" t="s">
        <v>166</v>
      </c>
      <c r="I52" s="134" t="s">
        <v>166</v>
      </c>
      <c r="J52" s="134" t="s">
        <v>166</v>
      </c>
      <c r="K52" s="134" t="s">
        <v>166</v>
      </c>
      <c r="M52" s="145"/>
    </row>
    <row r="53" spans="1:13" ht="15" customHeight="1">
      <c r="A53" s="137" t="s">
        <v>181</v>
      </c>
    </row>
    <row r="54" spans="1:13">
      <c r="A54" s="312" t="s">
        <v>380</v>
      </c>
    </row>
  </sheetData>
  <sheetProtection sheet="1" objects="1" scenarios="1"/>
  <autoFilter ref="L10:M54" xr:uid="{00000000-0009-0000-0000-000021000000}">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U111"/>
  <sheetViews>
    <sheetView showGridLines="0" zoomScale="80" zoomScaleNormal="80" workbookViewId="0">
      <pane xSplit="1" ySplit="5" topLeftCell="B100" activePane="bottomRight" state="frozen"/>
      <selection activeCell="B18" sqref="B18"/>
      <selection pane="topRight" activeCell="B18" sqref="B18"/>
      <selection pane="bottomLeft" activeCell="B18" sqref="B18"/>
      <selection pane="bottomRight" activeCell="B12" sqref="B12"/>
    </sheetView>
  </sheetViews>
  <sheetFormatPr defaultRowHeight="14.25"/>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8">
      <c r="A2" s="160" t="s">
        <v>416</v>
      </c>
      <c r="B2" s="161"/>
      <c r="C2" s="161"/>
      <c r="D2" s="161"/>
      <c r="E2" s="161"/>
      <c r="F2" s="161"/>
      <c r="G2" s="161"/>
      <c r="H2" s="161"/>
      <c r="I2" s="161"/>
      <c r="J2" s="161"/>
      <c r="K2" s="161"/>
      <c r="L2" s="161"/>
      <c r="M2" s="161"/>
      <c r="N2" s="161"/>
      <c r="O2" s="161"/>
      <c r="P2" s="160"/>
      <c r="Q2" s="160"/>
      <c r="R2" s="160"/>
      <c r="S2" s="161"/>
    </row>
    <row r="3" spans="1:21" s="316" customFormat="1" ht="24.95" customHeight="1" thickBot="1">
      <c r="A3" s="315">
        <v>1</v>
      </c>
      <c r="B3" s="315">
        <v>2</v>
      </c>
      <c r="C3" s="315">
        <v>3</v>
      </c>
      <c r="D3" s="315">
        <v>4</v>
      </c>
      <c r="E3" s="315">
        <v>5</v>
      </c>
      <c r="F3" s="315">
        <v>6</v>
      </c>
      <c r="G3" s="315">
        <v>7</v>
      </c>
      <c r="H3" s="315">
        <v>8</v>
      </c>
      <c r="I3" s="315">
        <v>9</v>
      </c>
      <c r="J3" s="315">
        <v>10</v>
      </c>
      <c r="K3" s="315">
        <v>11</v>
      </c>
      <c r="L3" s="315">
        <v>12</v>
      </c>
      <c r="M3" s="315">
        <v>13</v>
      </c>
      <c r="N3" s="315">
        <v>14</v>
      </c>
      <c r="O3" s="315">
        <v>15</v>
      </c>
      <c r="P3" s="315">
        <v>16</v>
      </c>
      <c r="Q3" s="315">
        <v>17</v>
      </c>
      <c r="R3" s="349">
        <v>18</v>
      </c>
      <c r="S3" s="315">
        <v>19</v>
      </c>
    </row>
    <row r="4" spans="1:21" ht="20.100000000000001" customHeight="1" thickTop="1">
      <c r="B4" s="161"/>
      <c r="C4" s="161"/>
      <c r="D4" s="164" t="s">
        <v>417</v>
      </c>
      <c r="E4" s="165"/>
      <c r="F4" s="166"/>
      <c r="G4" s="166"/>
      <c r="H4" s="166"/>
      <c r="I4" s="166"/>
      <c r="J4" s="167"/>
      <c r="K4" s="317" t="s">
        <v>418</v>
      </c>
      <c r="L4" s="166"/>
      <c r="M4" s="167"/>
      <c r="N4" s="168" t="s">
        <v>419</v>
      </c>
      <c r="O4" s="169"/>
      <c r="P4" s="169"/>
      <c r="Q4" s="169"/>
      <c r="R4" s="169"/>
      <c r="S4" s="170"/>
    </row>
    <row r="5" spans="1:21" ht="71.25" customHeight="1" thickBot="1">
      <c r="A5" s="171" t="s">
        <v>210</v>
      </c>
      <c r="B5" s="171" t="s">
        <v>224</v>
      </c>
      <c r="C5" s="171" t="s">
        <v>211</v>
      </c>
      <c r="D5" s="172" t="s">
        <v>382</v>
      </c>
      <c r="E5" s="173" t="s">
        <v>212</v>
      </c>
      <c r="F5" s="173" t="s">
        <v>213</v>
      </c>
      <c r="G5" s="173" t="s">
        <v>217</v>
      </c>
      <c r="H5" s="173" t="s">
        <v>214</v>
      </c>
      <c r="I5" s="174" t="s">
        <v>215</v>
      </c>
      <c r="J5" s="175" t="s">
        <v>216</v>
      </c>
      <c r="K5" s="325" t="s">
        <v>388</v>
      </c>
      <c r="L5" s="326" t="s">
        <v>389</v>
      </c>
      <c r="M5" s="357" t="s">
        <v>390</v>
      </c>
      <c r="N5" s="358" t="s">
        <v>212</v>
      </c>
      <c r="O5" s="359" t="s">
        <v>213</v>
      </c>
      <c r="P5" s="360" t="s">
        <v>217</v>
      </c>
      <c r="Q5" s="360" t="s">
        <v>218</v>
      </c>
      <c r="R5" s="360" t="s">
        <v>219</v>
      </c>
      <c r="S5" s="180" t="s">
        <v>220</v>
      </c>
    </row>
    <row r="6" spans="1:21" ht="24.95" customHeight="1" thickTop="1">
      <c r="A6" s="181" t="s">
        <v>45</v>
      </c>
      <c r="B6" s="182" t="s">
        <v>14</v>
      </c>
      <c r="C6" s="183" t="s">
        <v>221</v>
      </c>
      <c r="D6" s="184">
        <v>159522</v>
      </c>
      <c r="E6" s="184">
        <v>5298</v>
      </c>
      <c r="F6" s="184">
        <v>30153</v>
      </c>
      <c r="G6" s="184">
        <v>7992</v>
      </c>
      <c r="H6" s="184">
        <v>89836</v>
      </c>
      <c r="I6" s="184">
        <v>26243</v>
      </c>
      <c r="J6" s="184">
        <f t="shared" ref="J6:J69" si="0">SUM(F6:H6)</f>
        <v>127981</v>
      </c>
      <c r="K6" s="327">
        <v>5.5999999999999994E-2</v>
      </c>
      <c r="L6" s="327">
        <v>0.20800000000000002</v>
      </c>
      <c r="M6" s="328">
        <v>0.16500000000000001</v>
      </c>
      <c r="N6" s="185">
        <f>E6*K6</f>
        <v>296.68799999999999</v>
      </c>
      <c r="O6" s="186">
        <f>F6*K6</f>
        <v>1688.5679999999998</v>
      </c>
      <c r="P6" s="186">
        <f>G6*L6</f>
        <v>1662.3360000000002</v>
      </c>
      <c r="Q6" s="186">
        <f>H6*L6</f>
        <v>18685.888000000003</v>
      </c>
      <c r="R6" s="186">
        <f>SUM(P6:Q6)</f>
        <v>20348.224000000002</v>
      </c>
      <c r="S6" s="186">
        <f>J6*M6</f>
        <v>21116.865000000002</v>
      </c>
      <c r="U6" s="350"/>
    </row>
    <row r="7" spans="1:21" ht="24.95" customHeight="1">
      <c r="A7" s="187" t="s">
        <v>118</v>
      </c>
      <c r="B7" s="188" t="s">
        <v>428</v>
      </c>
      <c r="C7" s="189" t="s">
        <v>221</v>
      </c>
      <c r="D7" s="190">
        <v>38715</v>
      </c>
      <c r="E7" s="190">
        <v>1106</v>
      </c>
      <c r="F7" s="190">
        <v>6851</v>
      </c>
      <c r="G7" s="190">
        <v>1331</v>
      </c>
      <c r="H7" s="190">
        <v>22107</v>
      </c>
      <c r="I7" s="190">
        <v>7320</v>
      </c>
      <c r="J7" s="190">
        <f t="shared" si="0"/>
        <v>30289</v>
      </c>
      <c r="K7" s="329">
        <v>5.5E-2</v>
      </c>
      <c r="L7" s="329">
        <v>0.20199999999999999</v>
      </c>
      <c r="M7" s="330">
        <v>0.16200000000000001</v>
      </c>
      <c r="N7" s="191">
        <f t="shared" ref="N7:N70" si="1">E7*K7</f>
        <v>60.83</v>
      </c>
      <c r="O7" s="192">
        <f t="shared" ref="O7:P70" si="2">F7*K7</f>
        <v>376.80500000000001</v>
      </c>
      <c r="P7" s="192">
        <f t="shared" si="2"/>
        <v>268.86199999999997</v>
      </c>
      <c r="Q7" s="192">
        <f t="shared" ref="Q7:Q70" si="3">H7*L7</f>
        <v>4465.6139999999996</v>
      </c>
      <c r="R7" s="192">
        <f t="shared" ref="R7:R70" si="4">SUM(P7:Q7)</f>
        <v>4734.4759999999997</v>
      </c>
      <c r="S7" s="192">
        <f t="shared" ref="S7:S70" si="5">J7*M7</f>
        <v>4906.8180000000002</v>
      </c>
      <c r="U7" s="350"/>
    </row>
    <row r="8" spans="1:21" ht="24.95" customHeight="1">
      <c r="A8" s="187" t="s">
        <v>119</v>
      </c>
      <c r="B8" s="188" t="s">
        <v>428</v>
      </c>
      <c r="C8" s="189" t="s">
        <v>222</v>
      </c>
      <c r="D8" s="190">
        <v>11219</v>
      </c>
      <c r="E8" s="190">
        <v>285</v>
      </c>
      <c r="F8" s="190">
        <v>1717</v>
      </c>
      <c r="G8" s="190">
        <v>380</v>
      </c>
      <c r="H8" s="190">
        <v>6057</v>
      </c>
      <c r="I8" s="190">
        <v>2780</v>
      </c>
      <c r="J8" s="190">
        <f t="shared" si="0"/>
        <v>8154</v>
      </c>
      <c r="K8" s="329">
        <v>0.10199999999999999</v>
      </c>
      <c r="L8" s="329">
        <v>0.24399999999999999</v>
      </c>
      <c r="M8" s="330">
        <v>0.21</v>
      </c>
      <c r="N8" s="191">
        <f t="shared" si="1"/>
        <v>29.069999999999997</v>
      </c>
      <c r="O8" s="192">
        <f t="shared" si="2"/>
        <v>175.13399999999999</v>
      </c>
      <c r="P8" s="192">
        <f t="shared" si="2"/>
        <v>92.72</v>
      </c>
      <c r="Q8" s="192">
        <f t="shared" si="3"/>
        <v>1477.9079999999999</v>
      </c>
      <c r="R8" s="192">
        <f t="shared" si="4"/>
        <v>1570.6279999999999</v>
      </c>
      <c r="S8" s="192">
        <f t="shared" si="5"/>
        <v>1712.34</v>
      </c>
      <c r="U8" s="350"/>
    </row>
    <row r="9" spans="1:21" ht="24.95" customHeight="1">
      <c r="A9" s="187" t="s">
        <v>109</v>
      </c>
      <c r="B9" s="188" t="s">
        <v>17</v>
      </c>
      <c r="C9" s="189" t="s">
        <v>222</v>
      </c>
      <c r="D9" s="190">
        <v>26466</v>
      </c>
      <c r="E9" s="190">
        <v>739</v>
      </c>
      <c r="F9" s="190">
        <v>4622</v>
      </c>
      <c r="G9" s="190">
        <v>917</v>
      </c>
      <c r="H9" s="190">
        <v>15743</v>
      </c>
      <c r="I9" s="190">
        <v>4445</v>
      </c>
      <c r="J9" s="190">
        <f t="shared" si="0"/>
        <v>21282</v>
      </c>
      <c r="K9" s="329">
        <v>5.5E-2</v>
      </c>
      <c r="L9" s="329">
        <v>0.20800000000000002</v>
      </c>
      <c r="M9" s="330">
        <v>0.16699999999999998</v>
      </c>
      <c r="N9" s="191">
        <f t="shared" si="1"/>
        <v>40.645000000000003</v>
      </c>
      <c r="O9" s="192">
        <f t="shared" si="2"/>
        <v>254.21</v>
      </c>
      <c r="P9" s="192">
        <f t="shared" si="2"/>
        <v>190.73600000000002</v>
      </c>
      <c r="Q9" s="192">
        <f t="shared" si="3"/>
        <v>3274.5440000000003</v>
      </c>
      <c r="R9" s="192">
        <f t="shared" si="4"/>
        <v>3465.28</v>
      </c>
      <c r="S9" s="192">
        <f t="shared" si="5"/>
        <v>3554.0939999999996</v>
      </c>
      <c r="U9" s="350"/>
    </row>
    <row r="10" spans="1:21" ht="24.95" customHeight="1">
      <c r="A10" s="187" t="s">
        <v>120</v>
      </c>
      <c r="B10" s="188" t="s">
        <v>428</v>
      </c>
      <c r="C10" s="189" t="s">
        <v>222</v>
      </c>
      <c r="D10" s="190">
        <v>27507</v>
      </c>
      <c r="E10" s="190">
        <v>726</v>
      </c>
      <c r="F10" s="190">
        <v>4359</v>
      </c>
      <c r="G10" s="190">
        <v>884</v>
      </c>
      <c r="H10" s="190">
        <v>14985</v>
      </c>
      <c r="I10" s="190">
        <v>6553</v>
      </c>
      <c r="J10" s="190">
        <f t="shared" si="0"/>
        <v>20228</v>
      </c>
      <c r="K10" s="329">
        <v>7.8E-2</v>
      </c>
      <c r="L10" s="329">
        <v>0.23699999999999999</v>
      </c>
      <c r="M10" s="330">
        <v>0.19800000000000001</v>
      </c>
      <c r="N10" s="191">
        <f t="shared" si="1"/>
        <v>56.628</v>
      </c>
      <c r="O10" s="192">
        <f t="shared" si="2"/>
        <v>340.00200000000001</v>
      </c>
      <c r="P10" s="192">
        <f t="shared" si="2"/>
        <v>209.50799999999998</v>
      </c>
      <c r="Q10" s="192">
        <f t="shared" si="3"/>
        <v>3551.4449999999997</v>
      </c>
      <c r="R10" s="192">
        <f t="shared" si="4"/>
        <v>3760.9529999999995</v>
      </c>
      <c r="S10" s="192">
        <f t="shared" si="5"/>
        <v>4005.1440000000002</v>
      </c>
      <c r="U10" s="350"/>
    </row>
    <row r="11" spans="1:21" ht="24.95" customHeight="1">
      <c r="A11" s="187" t="s">
        <v>121</v>
      </c>
      <c r="B11" s="188" t="s">
        <v>428</v>
      </c>
      <c r="C11" s="189" t="s">
        <v>222</v>
      </c>
      <c r="D11" s="190">
        <v>17903</v>
      </c>
      <c r="E11" s="190">
        <v>418</v>
      </c>
      <c r="F11" s="190">
        <v>2375</v>
      </c>
      <c r="G11" s="190">
        <v>629</v>
      </c>
      <c r="H11" s="190">
        <v>10754</v>
      </c>
      <c r="I11" s="190">
        <v>3727</v>
      </c>
      <c r="J11" s="190">
        <f t="shared" si="0"/>
        <v>13758</v>
      </c>
      <c r="K11" s="329">
        <v>8.3000000000000004E-2</v>
      </c>
      <c r="L11" s="329">
        <v>0.245</v>
      </c>
      <c r="M11" s="330">
        <v>0.20699999999999999</v>
      </c>
      <c r="N11" s="191">
        <f t="shared" si="1"/>
        <v>34.694000000000003</v>
      </c>
      <c r="O11" s="192">
        <f t="shared" si="2"/>
        <v>197.125</v>
      </c>
      <c r="P11" s="192">
        <f t="shared" si="2"/>
        <v>154.10499999999999</v>
      </c>
      <c r="Q11" s="192">
        <f t="shared" si="3"/>
        <v>2634.73</v>
      </c>
      <c r="R11" s="192">
        <f t="shared" si="4"/>
        <v>2788.835</v>
      </c>
      <c r="S11" s="192">
        <f t="shared" si="5"/>
        <v>2847.9059999999999</v>
      </c>
      <c r="U11" s="350"/>
    </row>
    <row r="12" spans="1:21" ht="24.95" customHeight="1">
      <c r="A12" s="187" t="s">
        <v>69</v>
      </c>
      <c r="B12" s="188" t="s">
        <v>381</v>
      </c>
      <c r="C12" s="189" t="s">
        <v>222</v>
      </c>
      <c r="D12" s="190">
        <v>47717</v>
      </c>
      <c r="E12" s="190">
        <v>1394</v>
      </c>
      <c r="F12" s="190">
        <v>8509</v>
      </c>
      <c r="G12" s="190">
        <v>1530</v>
      </c>
      <c r="H12" s="190">
        <v>25311</v>
      </c>
      <c r="I12" s="190">
        <v>10973</v>
      </c>
      <c r="J12" s="190">
        <f t="shared" si="0"/>
        <v>35350</v>
      </c>
      <c r="K12" s="329">
        <v>6.7000000000000004E-2</v>
      </c>
      <c r="L12" s="329">
        <v>0.18899999999999997</v>
      </c>
      <c r="M12" s="330">
        <v>0.156</v>
      </c>
      <c r="N12" s="191">
        <f t="shared" si="1"/>
        <v>93.39800000000001</v>
      </c>
      <c r="O12" s="192">
        <f t="shared" si="2"/>
        <v>570.10300000000007</v>
      </c>
      <c r="P12" s="192">
        <f t="shared" si="2"/>
        <v>289.16999999999996</v>
      </c>
      <c r="Q12" s="192">
        <f t="shared" si="3"/>
        <v>4783.7789999999995</v>
      </c>
      <c r="R12" s="192">
        <f t="shared" si="4"/>
        <v>5072.9489999999996</v>
      </c>
      <c r="S12" s="192">
        <f t="shared" si="5"/>
        <v>5514.6</v>
      </c>
      <c r="U12" s="350"/>
    </row>
    <row r="13" spans="1:21" ht="24.95" customHeight="1">
      <c r="A13" s="193" t="s">
        <v>70</v>
      </c>
      <c r="B13" s="194" t="s">
        <v>381</v>
      </c>
      <c r="C13" s="195" t="s">
        <v>222</v>
      </c>
      <c r="D13" s="190">
        <v>20100</v>
      </c>
      <c r="E13" s="190">
        <v>555</v>
      </c>
      <c r="F13" s="190">
        <v>3320</v>
      </c>
      <c r="G13" s="190">
        <v>748</v>
      </c>
      <c r="H13" s="190">
        <v>11618</v>
      </c>
      <c r="I13" s="190">
        <v>3859</v>
      </c>
      <c r="J13" s="190">
        <f t="shared" si="0"/>
        <v>15686</v>
      </c>
      <c r="K13" s="329">
        <v>4.7E-2</v>
      </c>
      <c r="L13" s="329">
        <v>0.17600000000000002</v>
      </c>
      <c r="M13" s="330">
        <v>0.14400000000000002</v>
      </c>
      <c r="N13" s="191">
        <f t="shared" si="1"/>
        <v>26.085000000000001</v>
      </c>
      <c r="O13" s="192">
        <f t="shared" si="2"/>
        <v>156.04</v>
      </c>
      <c r="P13" s="192">
        <f t="shared" si="2"/>
        <v>131.64800000000002</v>
      </c>
      <c r="Q13" s="192">
        <f t="shared" si="3"/>
        <v>2044.7680000000003</v>
      </c>
      <c r="R13" s="192">
        <f t="shared" si="4"/>
        <v>2176.4160000000002</v>
      </c>
      <c r="S13" s="192">
        <f t="shared" si="5"/>
        <v>2258.7840000000001</v>
      </c>
      <c r="U13" s="350"/>
    </row>
    <row r="14" spans="1:21" ht="24.95" customHeight="1">
      <c r="A14" s="193" t="s">
        <v>88</v>
      </c>
      <c r="B14" s="194" t="s">
        <v>15</v>
      </c>
      <c r="C14" s="195" t="s">
        <v>222</v>
      </c>
      <c r="D14" s="190">
        <v>35194</v>
      </c>
      <c r="E14" s="190">
        <v>1079</v>
      </c>
      <c r="F14" s="190">
        <v>6357</v>
      </c>
      <c r="G14" s="190">
        <v>1307</v>
      </c>
      <c r="H14" s="190">
        <v>19687</v>
      </c>
      <c r="I14" s="190">
        <v>6764</v>
      </c>
      <c r="J14" s="190">
        <f t="shared" si="0"/>
        <v>27351</v>
      </c>
      <c r="K14" s="329">
        <v>6.7000000000000004E-2</v>
      </c>
      <c r="L14" s="329">
        <v>0.23</v>
      </c>
      <c r="M14" s="330">
        <v>0.18600000000000003</v>
      </c>
      <c r="N14" s="191">
        <f t="shared" si="1"/>
        <v>72.293000000000006</v>
      </c>
      <c r="O14" s="192">
        <f t="shared" si="2"/>
        <v>425.91900000000004</v>
      </c>
      <c r="P14" s="192">
        <f t="shared" si="2"/>
        <v>300.61</v>
      </c>
      <c r="Q14" s="192">
        <f t="shared" si="3"/>
        <v>4528.01</v>
      </c>
      <c r="R14" s="192">
        <f t="shared" si="4"/>
        <v>4828.62</v>
      </c>
      <c r="S14" s="192">
        <f t="shared" si="5"/>
        <v>5087.286000000001</v>
      </c>
      <c r="U14" s="350"/>
    </row>
    <row r="15" spans="1:21" ht="24.95" customHeight="1">
      <c r="A15" s="193" t="s">
        <v>64</v>
      </c>
      <c r="B15" s="194" t="s">
        <v>381</v>
      </c>
      <c r="C15" s="195" t="s">
        <v>221</v>
      </c>
      <c r="D15" s="190">
        <v>124668</v>
      </c>
      <c r="E15" s="190">
        <v>3246</v>
      </c>
      <c r="F15" s="190">
        <v>18450</v>
      </c>
      <c r="G15" s="190">
        <v>3137</v>
      </c>
      <c r="H15" s="190">
        <v>64748</v>
      </c>
      <c r="I15" s="190">
        <v>35087</v>
      </c>
      <c r="J15" s="190">
        <f t="shared" si="0"/>
        <v>86335</v>
      </c>
      <c r="K15" s="329">
        <v>6.3E-2</v>
      </c>
      <c r="L15" s="329">
        <v>0.20800000000000002</v>
      </c>
      <c r="M15" s="330">
        <v>0.17399999999999999</v>
      </c>
      <c r="N15" s="191">
        <f t="shared" si="1"/>
        <v>204.49799999999999</v>
      </c>
      <c r="O15" s="192">
        <f t="shared" si="2"/>
        <v>1162.3499999999999</v>
      </c>
      <c r="P15" s="192">
        <f t="shared" si="2"/>
        <v>652.49600000000009</v>
      </c>
      <c r="Q15" s="192">
        <f t="shared" si="3"/>
        <v>13467.584000000001</v>
      </c>
      <c r="R15" s="192">
        <f t="shared" si="4"/>
        <v>14120.080000000002</v>
      </c>
      <c r="S15" s="192">
        <f t="shared" si="5"/>
        <v>15022.289999999999</v>
      </c>
      <c r="U15" s="350"/>
    </row>
    <row r="16" spans="1:21" ht="24.95" customHeight="1">
      <c r="A16" s="193" t="s">
        <v>122</v>
      </c>
      <c r="B16" s="194" t="s">
        <v>428</v>
      </c>
      <c r="C16" s="195" t="s">
        <v>221</v>
      </c>
      <c r="D16" s="190">
        <v>257413</v>
      </c>
      <c r="E16" s="190">
        <v>7813</v>
      </c>
      <c r="F16" s="190">
        <v>42095</v>
      </c>
      <c r="G16" s="190">
        <v>8433</v>
      </c>
      <c r="H16" s="190">
        <v>150584</v>
      </c>
      <c r="I16" s="190">
        <v>48488</v>
      </c>
      <c r="J16" s="190">
        <f t="shared" si="0"/>
        <v>201112</v>
      </c>
      <c r="K16" s="329">
        <v>5.4000000000000006E-2</v>
      </c>
      <c r="L16" s="329">
        <v>0.18100000000000002</v>
      </c>
      <c r="M16" s="330">
        <v>0.15</v>
      </c>
      <c r="N16" s="191">
        <f t="shared" si="1"/>
        <v>421.90200000000004</v>
      </c>
      <c r="O16" s="192">
        <f t="shared" si="2"/>
        <v>2273.13</v>
      </c>
      <c r="P16" s="192">
        <f t="shared" si="2"/>
        <v>1526.3730000000003</v>
      </c>
      <c r="Q16" s="192">
        <f t="shared" si="3"/>
        <v>27255.704000000002</v>
      </c>
      <c r="R16" s="192">
        <f t="shared" si="4"/>
        <v>28782.077000000001</v>
      </c>
      <c r="S16" s="192">
        <f t="shared" si="5"/>
        <v>30166.799999999999</v>
      </c>
      <c r="U16" s="350"/>
    </row>
    <row r="17" spans="1:21" ht="24.95" customHeight="1">
      <c r="A17" s="193" t="s">
        <v>101</v>
      </c>
      <c r="B17" s="194" t="s">
        <v>16</v>
      </c>
      <c r="C17" s="195" t="s">
        <v>221</v>
      </c>
      <c r="D17" s="190">
        <v>89198</v>
      </c>
      <c r="E17" s="190">
        <v>2546</v>
      </c>
      <c r="F17" s="190">
        <v>15622</v>
      </c>
      <c r="G17" s="190">
        <v>4362</v>
      </c>
      <c r="H17" s="190">
        <v>49671</v>
      </c>
      <c r="I17" s="190">
        <v>16997</v>
      </c>
      <c r="J17" s="190">
        <f t="shared" si="0"/>
        <v>69655</v>
      </c>
      <c r="K17" s="329">
        <v>5.5999999999999994E-2</v>
      </c>
      <c r="L17" s="329">
        <v>0.21</v>
      </c>
      <c r="M17" s="330">
        <v>0.17199999999999999</v>
      </c>
      <c r="N17" s="191">
        <f t="shared" si="1"/>
        <v>142.57599999999999</v>
      </c>
      <c r="O17" s="192">
        <f t="shared" si="2"/>
        <v>874.83199999999988</v>
      </c>
      <c r="P17" s="192">
        <f t="shared" si="2"/>
        <v>916.02</v>
      </c>
      <c r="Q17" s="192">
        <f t="shared" si="3"/>
        <v>10430.91</v>
      </c>
      <c r="R17" s="192">
        <f t="shared" si="4"/>
        <v>11346.93</v>
      </c>
      <c r="S17" s="192">
        <f t="shared" si="5"/>
        <v>11980.66</v>
      </c>
      <c r="U17" s="350"/>
    </row>
    <row r="18" spans="1:21" ht="24.95" customHeight="1">
      <c r="A18" s="193" t="s">
        <v>46</v>
      </c>
      <c r="B18" s="194" t="s">
        <v>14</v>
      </c>
      <c r="C18" s="195" t="s">
        <v>221</v>
      </c>
      <c r="D18" s="190">
        <v>200827</v>
      </c>
      <c r="E18" s="190">
        <v>7258</v>
      </c>
      <c r="F18" s="190">
        <v>43534</v>
      </c>
      <c r="G18" s="190">
        <v>7828</v>
      </c>
      <c r="H18" s="190">
        <v>116422</v>
      </c>
      <c r="I18" s="190">
        <v>25785</v>
      </c>
      <c r="J18" s="190">
        <f t="shared" si="0"/>
        <v>167784</v>
      </c>
      <c r="K18" s="329">
        <v>5.2000000000000005E-2</v>
      </c>
      <c r="L18" s="329">
        <v>0.17</v>
      </c>
      <c r="M18" s="330">
        <v>0.13400000000000001</v>
      </c>
      <c r="N18" s="191">
        <f t="shared" si="1"/>
        <v>377.41600000000005</v>
      </c>
      <c r="O18" s="192">
        <f t="shared" si="2"/>
        <v>2263.768</v>
      </c>
      <c r="P18" s="192">
        <f t="shared" si="2"/>
        <v>1330.76</v>
      </c>
      <c r="Q18" s="192">
        <f t="shared" si="3"/>
        <v>19791.740000000002</v>
      </c>
      <c r="R18" s="192">
        <f t="shared" si="4"/>
        <v>21122.5</v>
      </c>
      <c r="S18" s="192">
        <f t="shared" si="5"/>
        <v>22483.056</v>
      </c>
      <c r="U18" s="350"/>
    </row>
    <row r="19" spans="1:21" ht="24.95" customHeight="1">
      <c r="A19" s="193" t="s">
        <v>123</v>
      </c>
      <c r="B19" s="194" t="s">
        <v>428</v>
      </c>
      <c r="C19" s="195" t="s">
        <v>221</v>
      </c>
      <c r="D19" s="190">
        <v>82350</v>
      </c>
      <c r="E19" s="190">
        <v>2388</v>
      </c>
      <c r="F19" s="190">
        <v>14439</v>
      </c>
      <c r="G19" s="190">
        <v>3308</v>
      </c>
      <c r="H19" s="190">
        <v>47100</v>
      </c>
      <c r="I19" s="190">
        <v>15115</v>
      </c>
      <c r="J19" s="190">
        <f t="shared" si="0"/>
        <v>64847</v>
      </c>
      <c r="K19" s="329">
        <v>4.7E-2</v>
      </c>
      <c r="L19" s="329">
        <v>0.21199999999999999</v>
      </c>
      <c r="M19" s="330">
        <v>0.17</v>
      </c>
      <c r="N19" s="191">
        <f t="shared" si="1"/>
        <v>112.236</v>
      </c>
      <c r="O19" s="192">
        <f t="shared" si="2"/>
        <v>678.63300000000004</v>
      </c>
      <c r="P19" s="192">
        <f t="shared" si="2"/>
        <v>701.29599999999994</v>
      </c>
      <c r="Q19" s="192">
        <f t="shared" si="3"/>
        <v>9985.1999999999989</v>
      </c>
      <c r="R19" s="192">
        <f t="shared" si="4"/>
        <v>10686.495999999999</v>
      </c>
      <c r="S19" s="192">
        <f t="shared" si="5"/>
        <v>11023.990000000002</v>
      </c>
      <c r="U19" s="350"/>
    </row>
    <row r="20" spans="1:21" ht="24.95" customHeight="1">
      <c r="A20" s="193" t="s">
        <v>71</v>
      </c>
      <c r="B20" s="194" t="s">
        <v>381</v>
      </c>
      <c r="C20" s="195" t="s">
        <v>222</v>
      </c>
      <c r="D20" s="190">
        <v>10431</v>
      </c>
      <c r="E20" s="190">
        <v>306</v>
      </c>
      <c r="F20" s="190">
        <v>1928</v>
      </c>
      <c r="G20" s="190">
        <v>377</v>
      </c>
      <c r="H20" s="190">
        <v>6184</v>
      </c>
      <c r="I20" s="190">
        <v>1636</v>
      </c>
      <c r="J20" s="190">
        <f t="shared" si="0"/>
        <v>8489</v>
      </c>
      <c r="K20" s="329">
        <v>6.7000000000000004E-2</v>
      </c>
      <c r="L20" s="329">
        <v>0.16</v>
      </c>
      <c r="M20" s="330">
        <v>0.13300000000000001</v>
      </c>
      <c r="N20" s="191">
        <f t="shared" si="1"/>
        <v>20.502000000000002</v>
      </c>
      <c r="O20" s="192">
        <f t="shared" si="2"/>
        <v>129.17600000000002</v>
      </c>
      <c r="P20" s="192">
        <f t="shared" si="2"/>
        <v>60.32</v>
      </c>
      <c r="Q20" s="192">
        <f t="shared" si="3"/>
        <v>989.44</v>
      </c>
      <c r="R20" s="192">
        <f t="shared" si="4"/>
        <v>1049.76</v>
      </c>
      <c r="S20" s="192">
        <f t="shared" si="5"/>
        <v>1129.037</v>
      </c>
      <c r="U20" s="350"/>
    </row>
    <row r="21" spans="1:21" ht="24.95" customHeight="1">
      <c r="A21" s="193" t="s">
        <v>65</v>
      </c>
      <c r="B21" s="194" t="s">
        <v>381</v>
      </c>
      <c r="C21" s="195" t="s">
        <v>222</v>
      </c>
      <c r="D21" s="190">
        <v>69706</v>
      </c>
      <c r="E21" s="190">
        <v>1829</v>
      </c>
      <c r="F21" s="190">
        <v>10480</v>
      </c>
      <c r="G21" s="190">
        <v>2151</v>
      </c>
      <c r="H21" s="190">
        <v>39046</v>
      </c>
      <c r="I21" s="190">
        <v>16200</v>
      </c>
      <c r="J21" s="190">
        <f t="shared" si="0"/>
        <v>51677</v>
      </c>
      <c r="K21" s="329">
        <v>0.06</v>
      </c>
      <c r="L21" s="329">
        <v>0.19500000000000001</v>
      </c>
      <c r="M21" s="330">
        <v>0.16300000000000001</v>
      </c>
      <c r="N21" s="191">
        <f t="shared" si="1"/>
        <v>109.74</v>
      </c>
      <c r="O21" s="192">
        <f t="shared" si="2"/>
        <v>628.79999999999995</v>
      </c>
      <c r="P21" s="192">
        <f t="shared" si="2"/>
        <v>419.44499999999999</v>
      </c>
      <c r="Q21" s="192">
        <f t="shared" si="3"/>
        <v>7613.97</v>
      </c>
      <c r="R21" s="192">
        <f t="shared" si="4"/>
        <v>8033.415</v>
      </c>
      <c r="S21" s="192">
        <f t="shared" si="5"/>
        <v>8423.3510000000006</v>
      </c>
      <c r="U21" s="350"/>
    </row>
    <row r="22" spans="1:21" ht="24.95" customHeight="1">
      <c r="A22" s="193" t="s">
        <v>47</v>
      </c>
      <c r="B22" s="194" t="s">
        <v>14</v>
      </c>
      <c r="C22" s="195" t="s">
        <v>222</v>
      </c>
      <c r="D22" s="190">
        <v>23627</v>
      </c>
      <c r="E22" s="190">
        <v>634</v>
      </c>
      <c r="F22" s="190">
        <v>3717</v>
      </c>
      <c r="G22" s="190">
        <v>732</v>
      </c>
      <c r="H22" s="190">
        <v>13993</v>
      </c>
      <c r="I22" s="190">
        <v>4551</v>
      </c>
      <c r="J22" s="190">
        <f t="shared" si="0"/>
        <v>18442</v>
      </c>
      <c r="K22" s="329">
        <v>5.5999999999999994E-2</v>
      </c>
      <c r="L22" s="329">
        <v>0.193</v>
      </c>
      <c r="M22" s="330">
        <v>0.158</v>
      </c>
      <c r="N22" s="191">
        <f t="shared" si="1"/>
        <v>35.503999999999998</v>
      </c>
      <c r="O22" s="192">
        <f t="shared" si="2"/>
        <v>208.15199999999999</v>
      </c>
      <c r="P22" s="192">
        <f t="shared" si="2"/>
        <v>141.27600000000001</v>
      </c>
      <c r="Q22" s="192">
        <f t="shared" si="3"/>
        <v>2700.6489999999999</v>
      </c>
      <c r="R22" s="192">
        <f t="shared" si="4"/>
        <v>2841.9249999999997</v>
      </c>
      <c r="S22" s="192">
        <f t="shared" si="5"/>
        <v>2913.8360000000002</v>
      </c>
      <c r="U22" s="350"/>
    </row>
    <row r="23" spans="1:21" ht="24.95" customHeight="1">
      <c r="A23" s="193" t="s">
        <v>102</v>
      </c>
      <c r="B23" s="194" t="s">
        <v>16</v>
      </c>
      <c r="C23" s="195" t="s">
        <v>221</v>
      </c>
      <c r="D23" s="190">
        <v>156532</v>
      </c>
      <c r="E23" s="190">
        <v>5196</v>
      </c>
      <c r="F23" s="190">
        <v>29869</v>
      </c>
      <c r="G23" s="190">
        <v>6155</v>
      </c>
      <c r="H23" s="190">
        <v>89102</v>
      </c>
      <c r="I23" s="190">
        <v>26210</v>
      </c>
      <c r="J23" s="190">
        <f t="shared" si="0"/>
        <v>125126</v>
      </c>
      <c r="K23" s="329">
        <v>5.5999999999999994E-2</v>
      </c>
      <c r="L23" s="329">
        <v>0.192</v>
      </c>
      <c r="M23" s="330">
        <v>0.154</v>
      </c>
      <c r="N23" s="191">
        <f t="shared" si="1"/>
        <v>290.97599999999994</v>
      </c>
      <c r="O23" s="192">
        <f t="shared" si="2"/>
        <v>1672.6639999999998</v>
      </c>
      <c r="P23" s="192">
        <f t="shared" si="2"/>
        <v>1181.76</v>
      </c>
      <c r="Q23" s="192">
        <f t="shared" si="3"/>
        <v>17107.583999999999</v>
      </c>
      <c r="R23" s="192">
        <f t="shared" si="4"/>
        <v>18289.343999999997</v>
      </c>
      <c r="S23" s="192">
        <f t="shared" si="5"/>
        <v>19269.403999999999</v>
      </c>
      <c r="U23" s="350"/>
    </row>
    <row r="24" spans="1:21" ht="24.95" customHeight="1">
      <c r="A24" s="193" t="s">
        <v>48</v>
      </c>
      <c r="B24" s="194" t="s">
        <v>14</v>
      </c>
      <c r="C24" s="195" t="s">
        <v>221</v>
      </c>
      <c r="D24" s="190">
        <v>70981</v>
      </c>
      <c r="E24" s="190">
        <v>1914</v>
      </c>
      <c r="F24" s="190">
        <v>11983</v>
      </c>
      <c r="G24" s="190">
        <v>2087</v>
      </c>
      <c r="H24" s="190">
        <v>38235</v>
      </c>
      <c r="I24" s="190">
        <v>16762</v>
      </c>
      <c r="J24" s="190">
        <f t="shared" si="0"/>
        <v>52305</v>
      </c>
      <c r="K24" s="329">
        <v>7.0999999999999994E-2</v>
      </c>
      <c r="L24" s="329">
        <v>0.18899999999999997</v>
      </c>
      <c r="M24" s="330">
        <v>0.157</v>
      </c>
      <c r="N24" s="191">
        <f t="shared" si="1"/>
        <v>135.89399999999998</v>
      </c>
      <c r="O24" s="192">
        <f t="shared" si="2"/>
        <v>850.79299999999989</v>
      </c>
      <c r="P24" s="192">
        <f t="shared" si="2"/>
        <v>394.44299999999993</v>
      </c>
      <c r="Q24" s="192">
        <f t="shared" si="3"/>
        <v>7226.4149999999991</v>
      </c>
      <c r="R24" s="192">
        <f t="shared" si="4"/>
        <v>7620.8579999999993</v>
      </c>
      <c r="S24" s="192">
        <f t="shared" si="5"/>
        <v>8211.8850000000002</v>
      </c>
      <c r="U24" s="350"/>
    </row>
    <row r="25" spans="1:21" ht="24.95" customHeight="1">
      <c r="A25" s="193" t="s">
        <v>124</v>
      </c>
      <c r="B25" s="194" t="s">
        <v>428</v>
      </c>
      <c r="C25" s="195" t="s">
        <v>222</v>
      </c>
      <c r="D25" s="190">
        <v>27524</v>
      </c>
      <c r="E25" s="190">
        <v>693</v>
      </c>
      <c r="F25" s="190">
        <v>4186</v>
      </c>
      <c r="G25" s="190">
        <v>827</v>
      </c>
      <c r="H25" s="190">
        <v>14125</v>
      </c>
      <c r="I25" s="190">
        <v>7693</v>
      </c>
      <c r="J25" s="190">
        <f t="shared" si="0"/>
        <v>19138</v>
      </c>
      <c r="K25" s="329">
        <v>7.6999999999999999E-2</v>
      </c>
      <c r="L25" s="329">
        <v>0.23</v>
      </c>
      <c r="M25" s="330">
        <v>0.192</v>
      </c>
      <c r="N25" s="191">
        <f t="shared" si="1"/>
        <v>53.360999999999997</v>
      </c>
      <c r="O25" s="192">
        <f t="shared" si="2"/>
        <v>322.322</v>
      </c>
      <c r="P25" s="192">
        <f t="shared" si="2"/>
        <v>190.21</v>
      </c>
      <c r="Q25" s="192">
        <f t="shared" si="3"/>
        <v>3248.75</v>
      </c>
      <c r="R25" s="192">
        <f t="shared" si="4"/>
        <v>3438.96</v>
      </c>
      <c r="S25" s="192">
        <f t="shared" si="5"/>
        <v>3674.4960000000001</v>
      </c>
      <c r="U25" s="350"/>
    </row>
    <row r="26" spans="1:21" ht="24.95" customHeight="1">
      <c r="A26" s="193" t="s">
        <v>72</v>
      </c>
      <c r="B26" s="194" t="s">
        <v>381</v>
      </c>
      <c r="C26" s="195" t="s">
        <v>222</v>
      </c>
      <c r="D26" s="190">
        <v>14669</v>
      </c>
      <c r="E26" s="190">
        <v>439</v>
      </c>
      <c r="F26" s="190">
        <v>2615</v>
      </c>
      <c r="G26" s="190">
        <v>496</v>
      </c>
      <c r="H26" s="190">
        <v>7771</v>
      </c>
      <c r="I26" s="190">
        <v>3348</v>
      </c>
      <c r="J26" s="190">
        <f t="shared" si="0"/>
        <v>10882</v>
      </c>
      <c r="K26" s="329">
        <v>6.7000000000000004E-2</v>
      </c>
      <c r="L26" s="329">
        <v>0.2</v>
      </c>
      <c r="M26" s="330">
        <v>0.16300000000000001</v>
      </c>
      <c r="N26" s="191">
        <f t="shared" si="1"/>
        <v>29.413</v>
      </c>
      <c r="O26" s="192">
        <f t="shared" si="2"/>
        <v>175.20500000000001</v>
      </c>
      <c r="P26" s="192">
        <f t="shared" si="2"/>
        <v>99.2</v>
      </c>
      <c r="Q26" s="192">
        <f t="shared" si="3"/>
        <v>1554.2</v>
      </c>
      <c r="R26" s="192">
        <f t="shared" si="4"/>
        <v>1653.4</v>
      </c>
      <c r="S26" s="192">
        <f t="shared" si="5"/>
        <v>1773.7660000000001</v>
      </c>
      <c r="U26" s="350"/>
    </row>
    <row r="27" spans="1:21" ht="24.95" customHeight="1">
      <c r="A27" s="193" t="s">
        <v>125</v>
      </c>
      <c r="B27" s="194" t="s">
        <v>428</v>
      </c>
      <c r="C27" s="195" t="s">
        <v>222</v>
      </c>
      <c r="D27" s="190">
        <v>10855</v>
      </c>
      <c r="E27" s="190">
        <v>265</v>
      </c>
      <c r="F27" s="190">
        <v>1607</v>
      </c>
      <c r="G27" s="190">
        <v>336</v>
      </c>
      <c r="H27" s="190">
        <v>5507</v>
      </c>
      <c r="I27" s="190">
        <v>3140</v>
      </c>
      <c r="J27" s="190">
        <f t="shared" si="0"/>
        <v>7450</v>
      </c>
      <c r="K27" s="329">
        <v>9.0999999999999998E-2</v>
      </c>
      <c r="L27" s="329">
        <v>0.223</v>
      </c>
      <c r="M27" s="330">
        <v>0.19</v>
      </c>
      <c r="N27" s="191">
        <f t="shared" si="1"/>
        <v>24.114999999999998</v>
      </c>
      <c r="O27" s="192">
        <f t="shared" si="2"/>
        <v>146.23699999999999</v>
      </c>
      <c r="P27" s="192">
        <f t="shared" si="2"/>
        <v>74.927999999999997</v>
      </c>
      <c r="Q27" s="192">
        <f t="shared" si="3"/>
        <v>1228.0609999999999</v>
      </c>
      <c r="R27" s="192">
        <f t="shared" si="4"/>
        <v>1302.989</v>
      </c>
      <c r="S27" s="192">
        <f t="shared" si="5"/>
        <v>1415.5</v>
      </c>
      <c r="U27" s="350"/>
    </row>
    <row r="28" spans="1:21" ht="24.95" customHeight="1">
      <c r="A28" s="193" t="s">
        <v>103</v>
      </c>
      <c r="B28" s="194" t="s">
        <v>16</v>
      </c>
      <c r="C28" s="195" t="s">
        <v>222</v>
      </c>
      <c r="D28" s="190">
        <v>98532</v>
      </c>
      <c r="E28" s="190">
        <v>3120</v>
      </c>
      <c r="F28" s="190">
        <v>18187</v>
      </c>
      <c r="G28" s="190">
        <v>4337</v>
      </c>
      <c r="H28" s="190">
        <v>55443</v>
      </c>
      <c r="I28" s="190">
        <v>17445</v>
      </c>
      <c r="J28" s="190">
        <f t="shared" si="0"/>
        <v>77967</v>
      </c>
      <c r="K28" s="329">
        <v>4.5999999999999999E-2</v>
      </c>
      <c r="L28" s="329">
        <v>0.17699999999999999</v>
      </c>
      <c r="M28" s="330">
        <v>0.14099999999999999</v>
      </c>
      <c r="N28" s="191">
        <f t="shared" si="1"/>
        <v>143.52000000000001</v>
      </c>
      <c r="O28" s="192">
        <f t="shared" si="2"/>
        <v>836.60199999999998</v>
      </c>
      <c r="P28" s="192">
        <f t="shared" si="2"/>
        <v>767.649</v>
      </c>
      <c r="Q28" s="192">
        <f t="shared" si="3"/>
        <v>9813.4110000000001</v>
      </c>
      <c r="R28" s="192">
        <f t="shared" si="4"/>
        <v>10581.06</v>
      </c>
      <c r="S28" s="192">
        <f t="shared" si="5"/>
        <v>10993.347</v>
      </c>
      <c r="U28" s="350"/>
    </row>
    <row r="29" spans="1:21" ht="24.95" customHeight="1">
      <c r="A29" s="193" t="s">
        <v>89</v>
      </c>
      <c r="B29" s="194" t="s">
        <v>15</v>
      </c>
      <c r="C29" s="195" t="s">
        <v>222</v>
      </c>
      <c r="D29" s="190">
        <v>57579</v>
      </c>
      <c r="E29" s="190">
        <v>1822</v>
      </c>
      <c r="F29" s="190">
        <v>10569</v>
      </c>
      <c r="G29" s="190">
        <v>2236</v>
      </c>
      <c r="H29" s="190">
        <v>32588</v>
      </c>
      <c r="I29" s="190">
        <v>10364</v>
      </c>
      <c r="J29" s="190">
        <f t="shared" si="0"/>
        <v>45393</v>
      </c>
      <c r="K29" s="329">
        <v>6.4000000000000001E-2</v>
      </c>
      <c r="L29" s="329">
        <v>0.22800000000000001</v>
      </c>
      <c r="M29" s="330">
        <v>0.182</v>
      </c>
      <c r="N29" s="191">
        <f t="shared" si="1"/>
        <v>116.608</v>
      </c>
      <c r="O29" s="192">
        <f t="shared" si="2"/>
        <v>676.41600000000005</v>
      </c>
      <c r="P29" s="192">
        <f t="shared" si="2"/>
        <v>509.80799999999999</v>
      </c>
      <c r="Q29" s="192">
        <f t="shared" si="3"/>
        <v>7430.0640000000003</v>
      </c>
      <c r="R29" s="192">
        <f t="shared" si="4"/>
        <v>7939.8720000000003</v>
      </c>
      <c r="S29" s="192">
        <f t="shared" si="5"/>
        <v>8261.5259999999998</v>
      </c>
      <c r="U29" s="350"/>
    </row>
    <row r="30" spans="1:21" ht="24.95" customHeight="1">
      <c r="A30" s="193" t="s">
        <v>73</v>
      </c>
      <c r="B30" s="194" t="s">
        <v>381</v>
      </c>
      <c r="C30" s="195" t="s">
        <v>221</v>
      </c>
      <c r="D30" s="190">
        <v>105773</v>
      </c>
      <c r="E30" s="190">
        <v>4511</v>
      </c>
      <c r="F30" s="190">
        <v>21922</v>
      </c>
      <c r="G30" s="190">
        <v>4707</v>
      </c>
      <c r="H30" s="190">
        <v>56850</v>
      </c>
      <c r="I30" s="190">
        <v>17783</v>
      </c>
      <c r="J30" s="190">
        <f t="shared" si="0"/>
        <v>83479</v>
      </c>
      <c r="K30" s="329">
        <v>0.05</v>
      </c>
      <c r="L30" s="329">
        <v>0.183</v>
      </c>
      <c r="M30" s="330">
        <v>0.14499999999999999</v>
      </c>
      <c r="N30" s="191">
        <f t="shared" si="1"/>
        <v>225.55</v>
      </c>
      <c r="O30" s="192">
        <f t="shared" si="2"/>
        <v>1096.1000000000001</v>
      </c>
      <c r="P30" s="192">
        <f t="shared" si="2"/>
        <v>861.38099999999997</v>
      </c>
      <c r="Q30" s="192">
        <f t="shared" si="3"/>
        <v>10403.549999999999</v>
      </c>
      <c r="R30" s="192">
        <f t="shared" si="4"/>
        <v>11264.930999999999</v>
      </c>
      <c r="S30" s="192">
        <f t="shared" si="5"/>
        <v>12104.455</v>
      </c>
      <c r="U30" s="350"/>
    </row>
    <row r="31" spans="1:21" ht="24.95" customHeight="1">
      <c r="A31" s="193" t="s">
        <v>41</v>
      </c>
      <c r="B31" s="194" t="s">
        <v>13</v>
      </c>
      <c r="C31" s="195" t="s">
        <v>221</v>
      </c>
      <c r="D31" s="190">
        <v>333073</v>
      </c>
      <c r="E31" s="190">
        <v>16245</v>
      </c>
      <c r="F31" s="190">
        <v>72833</v>
      </c>
      <c r="G31" s="190">
        <v>15431</v>
      </c>
      <c r="H31" s="190">
        <v>189745</v>
      </c>
      <c r="I31" s="190">
        <v>38819</v>
      </c>
      <c r="J31" s="190">
        <f t="shared" si="0"/>
        <v>278009</v>
      </c>
      <c r="K31" s="329">
        <v>4.9000000000000002E-2</v>
      </c>
      <c r="L31" s="329">
        <v>0.17</v>
      </c>
      <c r="M31" s="330">
        <v>0.13400000000000001</v>
      </c>
      <c r="N31" s="191">
        <f t="shared" si="1"/>
        <v>796.005</v>
      </c>
      <c r="O31" s="192">
        <f t="shared" si="2"/>
        <v>3568.817</v>
      </c>
      <c r="P31" s="192">
        <f t="shared" si="2"/>
        <v>2623.27</v>
      </c>
      <c r="Q31" s="192">
        <f t="shared" si="3"/>
        <v>32256.65</v>
      </c>
      <c r="R31" s="192">
        <f t="shared" si="4"/>
        <v>34879.919999999998</v>
      </c>
      <c r="S31" s="192">
        <f t="shared" si="5"/>
        <v>37253.206000000006</v>
      </c>
      <c r="U31" s="350"/>
    </row>
    <row r="32" spans="1:21" ht="24.95" customHeight="1">
      <c r="A32" s="193" t="s">
        <v>74</v>
      </c>
      <c r="B32" s="194" t="s">
        <v>381</v>
      </c>
      <c r="C32" s="195" t="s">
        <v>221</v>
      </c>
      <c r="D32" s="190">
        <v>26160</v>
      </c>
      <c r="E32" s="190">
        <v>808</v>
      </c>
      <c r="F32" s="190">
        <v>4729</v>
      </c>
      <c r="G32" s="190">
        <v>934</v>
      </c>
      <c r="H32" s="190">
        <v>15707</v>
      </c>
      <c r="I32" s="190">
        <v>3982</v>
      </c>
      <c r="J32" s="190">
        <f t="shared" si="0"/>
        <v>21370</v>
      </c>
      <c r="K32" s="329">
        <v>6.5000000000000002E-2</v>
      </c>
      <c r="L32" s="329">
        <v>0.18100000000000002</v>
      </c>
      <c r="M32" s="330">
        <v>0.15</v>
      </c>
      <c r="N32" s="191">
        <f t="shared" si="1"/>
        <v>52.52</v>
      </c>
      <c r="O32" s="192">
        <f t="shared" si="2"/>
        <v>307.38499999999999</v>
      </c>
      <c r="P32" s="192">
        <f t="shared" si="2"/>
        <v>169.05400000000003</v>
      </c>
      <c r="Q32" s="192">
        <f t="shared" si="3"/>
        <v>2842.9670000000006</v>
      </c>
      <c r="R32" s="192">
        <f t="shared" si="4"/>
        <v>3012.0210000000006</v>
      </c>
      <c r="S32" s="192">
        <f t="shared" si="5"/>
        <v>3205.5</v>
      </c>
      <c r="U32" s="350"/>
    </row>
    <row r="33" spans="1:21" ht="24.95" customHeight="1">
      <c r="A33" s="193" t="s">
        <v>75</v>
      </c>
      <c r="B33" s="194" t="s">
        <v>381</v>
      </c>
      <c r="C33" s="195" t="s">
        <v>222</v>
      </c>
      <c r="D33" s="190">
        <v>35727</v>
      </c>
      <c r="E33" s="190">
        <v>1107</v>
      </c>
      <c r="F33" s="190">
        <v>5767</v>
      </c>
      <c r="G33" s="190">
        <v>901</v>
      </c>
      <c r="H33" s="190">
        <v>20831</v>
      </c>
      <c r="I33" s="190">
        <v>7121</v>
      </c>
      <c r="J33" s="190">
        <f t="shared" si="0"/>
        <v>27499</v>
      </c>
      <c r="K33" s="329">
        <v>7.5999999999999998E-2</v>
      </c>
      <c r="L33" s="329">
        <v>0.20300000000000001</v>
      </c>
      <c r="M33" s="330">
        <v>0.17199999999999999</v>
      </c>
      <c r="N33" s="191">
        <f t="shared" si="1"/>
        <v>84.132000000000005</v>
      </c>
      <c r="O33" s="192">
        <f t="shared" si="2"/>
        <v>438.29199999999997</v>
      </c>
      <c r="P33" s="192">
        <f t="shared" si="2"/>
        <v>182.90300000000002</v>
      </c>
      <c r="Q33" s="192">
        <f t="shared" si="3"/>
        <v>4228.6930000000002</v>
      </c>
      <c r="R33" s="192">
        <f t="shared" si="4"/>
        <v>4411.5960000000005</v>
      </c>
      <c r="S33" s="192">
        <f t="shared" si="5"/>
        <v>4729.8279999999995</v>
      </c>
      <c r="U33" s="350"/>
    </row>
    <row r="34" spans="1:21" ht="24.95" customHeight="1">
      <c r="A34" s="193" t="s">
        <v>49</v>
      </c>
      <c r="B34" s="194" t="s">
        <v>14</v>
      </c>
      <c r="C34" s="195" t="s">
        <v>221</v>
      </c>
      <c r="D34" s="190">
        <v>165399</v>
      </c>
      <c r="E34" s="190">
        <v>5302</v>
      </c>
      <c r="F34" s="190">
        <v>30961</v>
      </c>
      <c r="G34" s="190">
        <v>5840</v>
      </c>
      <c r="H34" s="190">
        <v>95081</v>
      </c>
      <c r="I34" s="190">
        <v>28215</v>
      </c>
      <c r="J34" s="190">
        <f t="shared" si="0"/>
        <v>131882</v>
      </c>
      <c r="K34" s="329">
        <v>4.7E-2</v>
      </c>
      <c r="L34" s="329">
        <v>0.19699999999999998</v>
      </c>
      <c r="M34" s="330">
        <v>0.155</v>
      </c>
      <c r="N34" s="191">
        <f t="shared" si="1"/>
        <v>249.19399999999999</v>
      </c>
      <c r="O34" s="192">
        <f t="shared" si="2"/>
        <v>1455.1669999999999</v>
      </c>
      <c r="P34" s="192">
        <f t="shared" si="2"/>
        <v>1150.4799999999998</v>
      </c>
      <c r="Q34" s="192">
        <f t="shared" si="3"/>
        <v>18730.956999999999</v>
      </c>
      <c r="R34" s="192">
        <f t="shared" si="4"/>
        <v>19881.436999999998</v>
      </c>
      <c r="S34" s="192">
        <f t="shared" si="5"/>
        <v>20441.71</v>
      </c>
      <c r="U34" s="350"/>
    </row>
    <row r="35" spans="1:21" ht="24.95" customHeight="1">
      <c r="A35" s="193" t="s">
        <v>60</v>
      </c>
      <c r="B35" s="194" t="s">
        <v>14</v>
      </c>
      <c r="C35" s="195" t="s">
        <v>221</v>
      </c>
      <c r="D35" s="190">
        <v>41474</v>
      </c>
      <c r="E35" s="190">
        <v>1183</v>
      </c>
      <c r="F35" s="190">
        <v>7370</v>
      </c>
      <c r="G35" s="190">
        <v>1489</v>
      </c>
      <c r="H35" s="190">
        <v>23338</v>
      </c>
      <c r="I35" s="190">
        <v>8094</v>
      </c>
      <c r="J35" s="190">
        <f t="shared" si="0"/>
        <v>32197</v>
      </c>
      <c r="K35" s="329">
        <v>7.0000000000000007E-2</v>
      </c>
      <c r="L35" s="329">
        <v>0.17199999999999999</v>
      </c>
      <c r="M35" s="330">
        <v>0.14400000000000002</v>
      </c>
      <c r="N35" s="191">
        <f t="shared" si="1"/>
        <v>82.81</v>
      </c>
      <c r="O35" s="192">
        <f t="shared" si="2"/>
        <v>515.90000000000009</v>
      </c>
      <c r="P35" s="192">
        <f t="shared" si="2"/>
        <v>256.108</v>
      </c>
      <c r="Q35" s="192">
        <f t="shared" si="3"/>
        <v>4014.1359999999995</v>
      </c>
      <c r="R35" s="192">
        <f t="shared" si="4"/>
        <v>4270.2439999999997</v>
      </c>
      <c r="S35" s="192">
        <f t="shared" si="5"/>
        <v>4636.3680000000004</v>
      </c>
      <c r="U35" s="350"/>
    </row>
    <row r="36" spans="1:21" ht="24.95" customHeight="1">
      <c r="A36" s="193" t="s">
        <v>90</v>
      </c>
      <c r="B36" s="194" t="s">
        <v>15</v>
      </c>
      <c r="C36" s="195" t="s">
        <v>222</v>
      </c>
      <c r="D36" s="190">
        <v>60763</v>
      </c>
      <c r="E36" s="190">
        <v>2254</v>
      </c>
      <c r="F36" s="190">
        <v>12409</v>
      </c>
      <c r="G36" s="190">
        <v>2440</v>
      </c>
      <c r="H36" s="190">
        <v>33410</v>
      </c>
      <c r="I36" s="190">
        <v>10250</v>
      </c>
      <c r="J36" s="190">
        <f t="shared" si="0"/>
        <v>48259</v>
      </c>
      <c r="K36" s="329">
        <v>8.5000000000000006E-2</v>
      </c>
      <c r="L36" s="329">
        <v>0.29299999999999998</v>
      </c>
      <c r="M36" s="330">
        <v>0.23199999999999998</v>
      </c>
      <c r="N36" s="191">
        <f t="shared" si="1"/>
        <v>191.59</v>
      </c>
      <c r="O36" s="192">
        <f t="shared" si="2"/>
        <v>1054.7650000000001</v>
      </c>
      <c r="P36" s="192">
        <f t="shared" si="2"/>
        <v>714.92</v>
      </c>
      <c r="Q36" s="192">
        <f t="shared" si="3"/>
        <v>9789.1299999999992</v>
      </c>
      <c r="R36" s="192">
        <f t="shared" si="4"/>
        <v>10504.05</v>
      </c>
      <c r="S36" s="192">
        <f t="shared" si="5"/>
        <v>11196.088</v>
      </c>
      <c r="U36" s="350"/>
    </row>
    <row r="37" spans="1:21" ht="24.95" customHeight="1">
      <c r="A37" s="193" t="s">
        <v>42</v>
      </c>
      <c r="B37" s="194" t="s">
        <v>13</v>
      </c>
      <c r="C37" s="195" t="s">
        <v>221</v>
      </c>
      <c r="D37" s="190">
        <v>303416</v>
      </c>
      <c r="E37" s="190">
        <v>13005</v>
      </c>
      <c r="F37" s="190">
        <v>57593</v>
      </c>
      <c r="G37" s="190">
        <v>14181</v>
      </c>
      <c r="H37" s="190">
        <v>183145</v>
      </c>
      <c r="I37" s="190">
        <v>35492</v>
      </c>
      <c r="J37" s="190">
        <f t="shared" si="0"/>
        <v>254919</v>
      </c>
      <c r="K37" s="329">
        <v>4.9000000000000002E-2</v>
      </c>
      <c r="L37" s="329">
        <v>0.18600000000000003</v>
      </c>
      <c r="M37" s="330">
        <v>0.151</v>
      </c>
      <c r="N37" s="191">
        <f t="shared" si="1"/>
        <v>637.245</v>
      </c>
      <c r="O37" s="192">
        <f t="shared" si="2"/>
        <v>2822.0570000000002</v>
      </c>
      <c r="P37" s="192">
        <f t="shared" si="2"/>
        <v>2637.6660000000002</v>
      </c>
      <c r="Q37" s="192">
        <f t="shared" si="3"/>
        <v>34064.970000000008</v>
      </c>
      <c r="R37" s="192">
        <f t="shared" si="4"/>
        <v>36702.636000000006</v>
      </c>
      <c r="S37" s="192">
        <f t="shared" si="5"/>
        <v>38492.769</v>
      </c>
      <c r="U37" s="350"/>
    </row>
    <row r="38" spans="1:21" ht="24.95" customHeight="1">
      <c r="A38" s="193" t="s">
        <v>91</v>
      </c>
      <c r="B38" s="194" t="s">
        <v>15</v>
      </c>
      <c r="C38" s="195" t="s">
        <v>221</v>
      </c>
      <c r="D38" s="190">
        <v>55303</v>
      </c>
      <c r="E38" s="190">
        <v>1793</v>
      </c>
      <c r="F38" s="190">
        <v>10895</v>
      </c>
      <c r="G38" s="190">
        <v>2105</v>
      </c>
      <c r="H38" s="190">
        <v>30716</v>
      </c>
      <c r="I38" s="190">
        <v>9794</v>
      </c>
      <c r="J38" s="190">
        <f t="shared" si="0"/>
        <v>43716</v>
      </c>
      <c r="K38" s="329">
        <v>3.9E-2</v>
      </c>
      <c r="L38" s="329">
        <v>0.187</v>
      </c>
      <c r="M38" s="330">
        <v>0.14499999999999999</v>
      </c>
      <c r="N38" s="191">
        <f t="shared" si="1"/>
        <v>69.927000000000007</v>
      </c>
      <c r="O38" s="192">
        <f t="shared" si="2"/>
        <v>424.90499999999997</v>
      </c>
      <c r="P38" s="192">
        <f t="shared" si="2"/>
        <v>393.63499999999999</v>
      </c>
      <c r="Q38" s="192">
        <f t="shared" si="3"/>
        <v>5743.8919999999998</v>
      </c>
      <c r="R38" s="192">
        <f t="shared" si="4"/>
        <v>6137.527</v>
      </c>
      <c r="S38" s="192">
        <f t="shared" si="5"/>
        <v>6338.82</v>
      </c>
      <c r="U38" s="350"/>
    </row>
    <row r="39" spans="1:21" ht="24.95" customHeight="1">
      <c r="A39" s="193" t="s">
        <v>61</v>
      </c>
      <c r="B39" s="194" t="s">
        <v>14</v>
      </c>
      <c r="C39" s="195" t="s">
        <v>221</v>
      </c>
      <c r="D39" s="190">
        <v>371646</v>
      </c>
      <c r="E39" s="190">
        <v>13579</v>
      </c>
      <c r="F39" s="190">
        <v>73737</v>
      </c>
      <c r="G39" s="190">
        <v>15578</v>
      </c>
      <c r="H39" s="190">
        <v>213147</v>
      </c>
      <c r="I39" s="190">
        <v>55605</v>
      </c>
      <c r="J39" s="190">
        <f t="shared" si="0"/>
        <v>302462</v>
      </c>
      <c r="K39" s="329">
        <v>4.7E-2</v>
      </c>
      <c r="L39" s="329">
        <v>0.19600000000000001</v>
      </c>
      <c r="M39" s="330">
        <v>0.153</v>
      </c>
      <c r="N39" s="191">
        <f t="shared" si="1"/>
        <v>638.21299999999997</v>
      </c>
      <c r="O39" s="192">
        <f t="shared" si="2"/>
        <v>3465.6390000000001</v>
      </c>
      <c r="P39" s="192">
        <f t="shared" si="2"/>
        <v>3053.288</v>
      </c>
      <c r="Q39" s="192">
        <f t="shared" si="3"/>
        <v>41776.811999999998</v>
      </c>
      <c r="R39" s="192">
        <f t="shared" si="4"/>
        <v>44830.1</v>
      </c>
      <c r="S39" s="192">
        <f t="shared" si="5"/>
        <v>46276.686000000002</v>
      </c>
      <c r="U39" s="350"/>
    </row>
    <row r="40" spans="1:21" ht="24.95" customHeight="1">
      <c r="A40" s="193" t="s">
        <v>50</v>
      </c>
      <c r="B40" s="194" t="s">
        <v>14</v>
      </c>
      <c r="C40" s="195" t="s">
        <v>221</v>
      </c>
      <c r="D40" s="190">
        <v>64436</v>
      </c>
      <c r="E40" s="190">
        <v>2037</v>
      </c>
      <c r="F40" s="190">
        <v>12349</v>
      </c>
      <c r="G40" s="190">
        <v>2510</v>
      </c>
      <c r="H40" s="190">
        <v>37298</v>
      </c>
      <c r="I40" s="190">
        <v>10242</v>
      </c>
      <c r="J40" s="190">
        <f t="shared" si="0"/>
        <v>52157</v>
      </c>
      <c r="K40" s="329">
        <v>6.4000000000000001E-2</v>
      </c>
      <c r="L40" s="329">
        <v>0.21899999999999997</v>
      </c>
      <c r="M40" s="330">
        <v>0.17499999999999999</v>
      </c>
      <c r="N40" s="191">
        <f t="shared" si="1"/>
        <v>130.36799999999999</v>
      </c>
      <c r="O40" s="192">
        <f t="shared" si="2"/>
        <v>790.33600000000001</v>
      </c>
      <c r="P40" s="192">
        <f t="shared" si="2"/>
        <v>549.68999999999994</v>
      </c>
      <c r="Q40" s="192">
        <f t="shared" si="3"/>
        <v>8168.2619999999988</v>
      </c>
      <c r="R40" s="192">
        <f t="shared" si="4"/>
        <v>8717.9519999999993</v>
      </c>
      <c r="S40" s="192">
        <f t="shared" si="5"/>
        <v>9127.4749999999985</v>
      </c>
      <c r="U40" s="350"/>
    </row>
    <row r="41" spans="1:21" ht="24.95" customHeight="1">
      <c r="A41" s="193" t="s">
        <v>104</v>
      </c>
      <c r="B41" s="194" t="s">
        <v>16</v>
      </c>
      <c r="C41" s="195" t="s">
        <v>221</v>
      </c>
      <c r="D41" s="190">
        <v>213325</v>
      </c>
      <c r="E41" s="190">
        <v>7373</v>
      </c>
      <c r="F41" s="190">
        <v>41293</v>
      </c>
      <c r="G41" s="190">
        <v>8262</v>
      </c>
      <c r="H41" s="190">
        <v>123427</v>
      </c>
      <c r="I41" s="190">
        <v>32970</v>
      </c>
      <c r="J41" s="190">
        <f t="shared" si="0"/>
        <v>172982</v>
      </c>
      <c r="K41" s="329">
        <v>5.2000000000000005E-2</v>
      </c>
      <c r="L41" s="329">
        <v>0.19800000000000001</v>
      </c>
      <c r="M41" s="330">
        <v>0.158</v>
      </c>
      <c r="N41" s="191">
        <f t="shared" si="1"/>
        <v>383.39600000000002</v>
      </c>
      <c r="O41" s="192">
        <f t="shared" si="2"/>
        <v>2147.2360000000003</v>
      </c>
      <c r="P41" s="192">
        <f t="shared" si="2"/>
        <v>1635.876</v>
      </c>
      <c r="Q41" s="192">
        <f t="shared" si="3"/>
        <v>24438.546000000002</v>
      </c>
      <c r="R41" s="192">
        <f t="shared" si="4"/>
        <v>26074.422000000002</v>
      </c>
      <c r="S41" s="192">
        <f t="shared" si="5"/>
        <v>27331.155999999999</v>
      </c>
      <c r="U41" s="350"/>
    </row>
    <row r="42" spans="1:21" ht="24.95" customHeight="1">
      <c r="A42" s="193" t="s">
        <v>76</v>
      </c>
      <c r="B42" s="194" t="s">
        <v>381</v>
      </c>
      <c r="C42" s="195" t="s">
        <v>221</v>
      </c>
      <c r="D42" s="190">
        <v>11914</v>
      </c>
      <c r="E42" s="190">
        <v>326</v>
      </c>
      <c r="F42" s="190">
        <v>2039</v>
      </c>
      <c r="G42" s="190">
        <v>456</v>
      </c>
      <c r="H42" s="190">
        <v>6925</v>
      </c>
      <c r="I42" s="190">
        <v>2168</v>
      </c>
      <c r="J42" s="190">
        <f t="shared" si="0"/>
        <v>9420</v>
      </c>
      <c r="K42" s="329">
        <v>6.2E-2</v>
      </c>
      <c r="L42" s="329">
        <v>0.17199999999999999</v>
      </c>
      <c r="M42" s="330">
        <v>0.14300000000000002</v>
      </c>
      <c r="N42" s="191">
        <f t="shared" si="1"/>
        <v>20.212</v>
      </c>
      <c r="O42" s="192">
        <f t="shared" si="2"/>
        <v>126.41799999999999</v>
      </c>
      <c r="P42" s="192">
        <f t="shared" si="2"/>
        <v>78.431999999999988</v>
      </c>
      <c r="Q42" s="192">
        <f t="shared" si="3"/>
        <v>1191.0999999999999</v>
      </c>
      <c r="R42" s="192">
        <f t="shared" si="4"/>
        <v>1269.5319999999999</v>
      </c>
      <c r="S42" s="192">
        <f t="shared" si="5"/>
        <v>1347.0600000000002</v>
      </c>
      <c r="U42" s="350"/>
    </row>
    <row r="43" spans="1:21" ht="24.95" customHeight="1">
      <c r="A43" s="193" t="s">
        <v>126</v>
      </c>
      <c r="B43" s="194" t="s">
        <v>428</v>
      </c>
      <c r="C43" s="195" t="s">
        <v>222</v>
      </c>
      <c r="D43" s="190">
        <v>8969</v>
      </c>
      <c r="E43" s="190">
        <v>279</v>
      </c>
      <c r="F43" s="190">
        <v>1601</v>
      </c>
      <c r="G43" s="190">
        <v>316</v>
      </c>
      <c r="H43" s="190">
        <v>4700</v>
      </c>
      <c r="I43" s="190">
        <v>2073</v>
      </c>
      <c r="J43" s="190">
        <f t="shared" si="0"/>
        <v>6617</v>
      </c>
      <c r="K43" s="329">
        <v>7.2000000000000008E-2</v>
      </c>
      <c r="L43" s="329">
        <v>0.23399999999999999</v>
      </c>
      <c r="M43" s="330">
        <v>0.19</v>
      </c>
      <c r="N43" s="191">
        <f t="shared" si="1"/>
        <v>20.088000000000001</v>
      </c>
      <c r="O43" s="192">
        <f t="shared" si="2"/>
        <v>115.27200000000002</v>
      </c>
      <c r="P43" s="192">
        <f t="shared" si="2"/>
        <v>73.943999999999988</v>
      </c>
      <c r="Q43" s="192">
        <f t="shared" si="3"/>
        <v>1099.8</v>
      </c>
      <c r="R43" s="192">
        <f t="shared" si="4"/>
        <v>1173.7439999999999</v>
      </c>
      <c r="S43" s="192">
        <f t="shared" si="5"/>
        <v>1257.23</v>
      </c>
      <c r="U43" s="350"/>
    </row>
    <row r="44" spans="1:21" ht="24.95" customHeight="1">
      <c r="A44" s="193" t="s">
        <v>51</v>
      </c>
      <c r="B44" s="194" t="s">
        <v>14</v>
      </c>
      <c r="C44" s="195" t="s">
        <v>222</v>
      </c>
      <c r="D44" s="190">
        <v>58471</v>
      </c>
      <c r="E44" s="190">
        <v>1633</v>
      </c>
      <c r="F44" s="190">
        <v>10097</v>
      </c>
      <c r="G44" s="190">
        <v>2551</v>
      </c>
      <c r="H44" s="190">
        <v>34948</v>
      </c>
      <c r="I44" s="190">
        <v>9242</v>
      </c>
      <c r="J44" s="190">
        <f t="shared" si="0"/>
        <v>47596</v>
      </c>
      <c r="K44" s="329">
        <v>5.7999999999999996E-2</v>
      </c>
      <c r="L44" s="329">
        <v>0.17800000000000002</v>
      </c>
      <c r="M44" s="330">
        <v>0.14599999999999999</v>
      </c>
      <c r="N44" s="191">
        <f t="shared" si="1"/>
        <v>94.713999999999999</v>
      </c>
      <c r="O44" s="192">
        <f t="shared" si="2"/>
        <v>585.62599999999998</v>
      </c>
      <c r="P44" s="192">
        <f t="shared" si="2"/>
        <v>454.07800000000003</v>
      </c>
      <c r="Q44" s="192">
        <f t="shared" si="3"/>
        <v>6220.7440000000006</v>
      </c>
      <c r="R44" s="192">
        <f t="shared" si="4"/>
        <v>6674.822000000001</v>
      </c>
      <c r="S44" s="192">
        <f t="shared" si="5"/>
        <v>6949.0159999999996</v>
      </c>
      <c r="U44" s="350"/>
    </row>
    <row r="45" spans="1:21" ht="24.95" customHeight="1">
      <c r="A45" s="193" t="s">
        <v>92</v>
      </c>
      <c r="B45" s="194" t="s">
        <v>15</v>
      </c>
      <c r="C45" s="195" t="s">
        <v>222</v>
      </c>
      <c r="D45" s="190">
        <v>21310</v>
      </c>
      <c r="E45" s="190">
        <v>637</v>
      </c>
      <c r="F45" s="190">
        <v>3997</v>
      </c>
      <c r="G45" s="190">
        <v>746</v>
      </c>
      <c r="H45" s="190">
        <v>12703</v>
      </c>
      <c r="I45" s="190">
        <v>3227</v>
      </c>
      <c r="J45" s="190">
        <f t="shared" si="0"/>
        <v>17446</v>
      </c>
      <c r="K45" s="329">
        <v>7.6999999999999999E-2</v>
      </c>
      <c r="L45" s="329">
        <v>0.251</v>
      </c>
      <c r="M45" s="330">
        <v>0.20100000000000001</v>
      </c>
      <c r="N45" s="191">
        <f t="shared" si="1"/>
        <v>49.048999999999999</v>
      </c>
      <c r="O45" s="192">
        <f t="shared" si="2"/>
        <v>307.76900000000001</v>
      </c>
      <c r="P45" s="192">
        <f t="shared" si="2"/>
        <v>187.24600000000001</v>
      </c>
      <c r="Q45" s="192">
        <f t="shared" si="3"/>
        <v>3188.453</v>
      </c>
      <c r="R45" s="192">
        <f t="shared" si="4"/>
        <v>3375.6990000000001</v>
      </c>
      <c r="S45" s="192">
        <f t="shared" si="5"/>
        <v>3506.6460000000002</v>
      </c>
      <c r="U45" s="350"/>
    </row>
    <row r="46" spans="1:21" ht="24.95" customHeight="1">
      <c r="A46" s="193" t="s">
        <v>110</v>
      </c>
      <c r="B46" s="194" t="s">
        <v>17</v>
      </c>
      <c r="C46" s="195" t="s">
        <v>221</v>
      </c>
      <c r="D46" s="190">
        <v>520398</v>
      </c>
      <c r="E46" s="190">
        <v>17863</v>
      </c>
      <c r="F46" s="190">
        <v>97307</v>
      </c>
      <c r="G46" s="190">
        <v>26867</v>
      </c>
      <c r="H46" s="190">
        <v>303029</v>
      </c>
      <c r="I46" s="190">
        <v>75332</v>
      </c>
      <c r="J46" s="190">
        <f t="shared" si="0"/>
        <v>427203</v>
      </c>
      <c r="K46" s="329">
        <v>5.5999999999999994E-2</v>
      </c>
      <c r="L46" s="329">
        <v>0.183</v>
      </c>
      <c r="M46" s="330">
        <v>0.14800000000000002</v>
      </c>
      <c r="N46" s="191">
        <f t="shared" si="1"/>
        <v>1000.3279999999999</v>
      </c>
      <c r="O46" s="192">
        <f t="shared" si="2"/>
        <v>5449.1919999999991</v>
      </c>
      <c r="P46" s="192">
        <f t="shared" si="2"/>
        <v>4916.6610000000001</v>
      </c>
      <c r="Q46" s="192">
        <f t="shared" si="3"/>
        <v>55454.307000000001</v>
      </c>
      <c r="R46" s="192">
        <f t="shared" si="4"/>
        <v>60370.968000000001</v>
      </c>
      <c r="S46" s="192">
        <f t="shared" si="5"/>
        <v>63226.044000000009</v>
      </c>
      <c r="U46" s="350"/>
    </row>
    <row r="47" spans="1:21" ht="24.95" customHeight="1">
      <c r="A47" s="193" t="s">
        <v>52</v>
      </c>
      <c r="B47" s="194" t="s">
        <v>14</v>
      </c>
      <c r="C47" s="195" t="s">
        <v>222</v>
      </c>
      <c r="D47" s="190">
        <v>52567</v>
      </c>
      <c r="E47" s="190">
        <v>1685</v>
      </c>
      <c r="F47" s="190">
        <v>9636</v>
      </c>
      <c r="G47" s="190">
        <v>1760</v>
      </c>
      <c r="H47" s="190">
        <v>29469</v>
      </c>
      <c r="I47" s="190">
        <v>10017</v>
      </c>
      <c r="J47" s="190">
        <f t="shared" si="0"/>
        <v>40865</v>
      </c>
      <c r="K47" s="329">
        <v>0.05</v>
      </c>
      <c r="L47" s="329">
        <v>0.19399999999999998</v>
      </c>
      <c r="M47" s="330">
        <v>0.155</v>
      </c>
      <c r="N47" s="191">
        <f t="shared" si="1"/>
        <v>84.25</v>
      </c>
      <c r="O47" s="192">
        <f t="shared" si="2"/>
        <v>481.8</v>
      </c>
      <c r="P47" s="192">
        <f t="shared" si="2"/>
        <v>341.43999999999994</v>
      </c>
      <c r="Q47" s="192">
        <f t="shared" si="3"/>
        <v>5716.985999999999</v>
      </c>
      <c r="R47" s="192">
        <f t="shared" si="4"/>
        <v>6058.4259999999986</v>
      </c>
      <c r="S47" s="192">
        <f t="shared" si="5"/>
        <v>6334.0749999999998</v>
      </c>
      <c r="U47" s="350"/>
    </row>
    <row r="48" spans="1:21" ht="24.95" customHeight="1">
      <c r="A48" s="193" t="s">
        <v>111</v>
      </c>
      <c r="B48" s="194" t="s">
        <v>17</v>
      </c>
      <c r="C48" s="195" t="s">
        <v>222</v>
      </c>
      <c r="D48" s="190">
        <v>130243</v>
      </c>
      <c r="E48" s="190">
        <v>5649</v>
      </c>
      <c r="F48" s="190">
        <v>29899</v>
      </c>
      <c r="G48" s="190">
        <v>5928</v>
      </c>
      <c r="H48" s="190">
        <v>72931</v>
      </c>
      <c r="I48" s="190">
        <v>15836</v>
      </c>
      <c r="J48" s="190">
        <f t="shared" si="0"/>
        <v>108758</v>
      </c>
      <c r="K48" s="329">
        <v>5.2000000000000005E-2</v>
      </c>
      <c r="L48" s="329">
        <v>0.20300000000000001</v>
      </c>
      <c r="M48" s="330">
        <v>0.155</v>
      </c>
      <c r="N48" s="191">
        <f t="shared" si="1"/>
        <v>293.74800000000005</v>
      </c>
      <c r="O48" s="192">
        <f t="shared" si="2"/>
        <v>1554.748</v>
      </c>
      <c r="P48" s="192">
        <f t="shared" si="2"/>
        <v>1203.384</v>
      </c>
      <c r="Q48" s="192">
        <f t="shared" si="3"/>
        <v>14804.993</v>
      </c>
      <c r="R48" s="192">
        <f t="shared" si="4"/>
        <v>16008.377</v>
      </c>
      <c r="S48" s="192">
        <f t="shared" si="5"/>
        <v>16857.490000000002</v>
      </c>
      <c r="U48" s="350"/>
    </row>
    <row r="49" spans="1:21" ht="24.95" customHeight="1">
      <c r="A49" s="193" t="s">
        <v>127</v>
      </c>
      <c r="B49" s="194" t="s">
        <v>428</v>
      </c>
      <c r="C49" s="195" t="s">
        <v>221</v>
      </c>
      <c r="D49" s="190">
        <v>60436</v>
      </c>
      <c r="E49" s="190">
        <v>1694</v>
      </c>
      <c r="F49" s="190">
        <v>9359</v>
      </c>
      <c r="G49" s="190">
        <v>1882</v>
      </c>
      <c r="H49" s="190">
        <v>32659</v>
      </c>
      <c r="I49" s="190">
        <v>14842</v>
      </c>
      <c r="J49" s="190">
        <f t="shared" si="0"/>
        <v>43900</v>
      </c>
      <c r="K49" s="329">
        <v>5.5E-2</v>
      </c>
      <c r="L49" s="329">
        <v>0.184</v>
      </c>
      <c r="M49" s="330">
        <v>0.153</v>
      </c>
      <c r="N49" s="191">
        <f t="shared" si="1"/>
        <v>93.17</v>
      </c>
      <c r="O49" s="192">
        <f t="shared" si="2"/>
        <v>514.745</v>
      </c>
      <c r="P49" s="192">
        <f t="shared" si="2"/>
        <v>346.28800000000001</v>
      </c>
      <c r="Q49" s="192">
        <f t="shared" si="3"/>
        <v>6009.2560000000003</v>
      </c>
      <c r="R49" s="192">
        <f t="shared" si="4"/>
        <v>6355.5439999999999</v>
      </c>
      <c r="S49" s="192">
        <f t="shared" si="5"/>
        <v>6716.7</v>
      </c>
      <c r="U49" s="350"/>
    </row>
    <row r="50" spans="1:21" ht="24.95" customHeight="1">
      <c r="A50" s="193" t="s">
        <v>128</v>
      </c>
      <c r="B50" s="194" t="s">
        <v>428</v>
      </c>
      <c r="C50" s="195" t="s">
        <v>221</v>
      </c>
      <c r="D50" s="190">
        <v>113314</v>
      </c>
      <c r="E50" s="190">
        <v>3288</v>
      </c>
      <c r="F50" s="190">
        <v>18744</v>
      </c>
      <c r="G50" s="190">
        <v>3295</v>
      </c>
      <c r="H50" s="190">
        <v>58964</v>
      </c>
      <c r="I50" s="190">
        <v>29023</v>
      </c>
      <c r="J50" s="190">
        <f t="shared" si="0"/>
        <v>81003</v>
      </c>
      <c r="K50" s="329">
        <v>6.4000000000000001E-2</v>
      </c>
      <c r="L50" s="329">
        <v>0.20899999999999999</v>
      </c>
      <c r="M50" s="330">
        <v>0.17100000000000001</v>
      </c>
      <c r="N50" s="191">
        <f t="shared" si="1"/>
        <v>210.43200000000002</v>
      </c>
      <c r="O50" s="192">
        <f t="shared" si="2"/>
        <v>1199.616</v>
      </c>
      <c r="P50" s="192">
        <f t="shared" si="2"/>
        <v>688.65499999999997</v>
      </c>
      <c r="Q50" s="192">
        <f t="shared" si="3"/>
        <v>12323.475999999999</v>
      </c>
      <c r="R50" s="192">
        <f t="shared" si="4"/>
        <v>13012.130999999999</v>
      </c>
      <c r="S50" s="192">
        <f t="shared" si="5"/>
        <v>13851.513000000001</v>
      </c>
      <c r="U50" s="350"/>
    </row>
    <row r="51" spans="1:21" ht="24.95" customHeight="1">
      <c r="A51" s="193" t="s">
        <v>77</v>
      </c>
      <c r="B51" s="194" t="s">
        <v>381</v>
      </c>
      <c r="C51" s="195" t="s">
        <v>222</v>
      </c>
      <c r="D51" s="190">
        <v>24423</v>
      </c>
      <c r="E51" s="190">
        <v>672</v>
      </c>
      <c r="F51" s="190">
        <v>4142</v>
      </c>
      <c r="G51" s="190">
        <v>1237</v>
      </c>
      <c r="H51" s="190">
        <v>13931</v>
      </c>
      <c r="I51" s="190">
        <v>4441</v>
      </c>
      <c r="J51" s="190">
        <f t="shared" si="0"/>
        <v>19310</v>
      </c>
      <c r="K51" s="329">
        <v>5.0999999999999997E-2</v>
      </c>
      <c r="L51" s="329">
        <v>0.19399999999999998</v>
      </c>
      <c r="M51" s="330">
        <v>0.156</v>
      </c>
      <c r="N51" s="191">
        <f t="shared" si="1"/>
        <v>34.271999999999998</v>
      </c>
      <c r="O51" s="192">
        <f t="shared" si="2"/>
        <v>211.24199999999999</v>
      </c>
      <c r="P51" s="192">
        <f t="shared" si="2"/>
        <v>239.97799999999998</v>
      </c>
      <c r="Q51" s="192">
        <f t="shared" si="3"/>
        <v>2702.6139999999996</v>
      </c>
      <c r="R51" s="192">
        <f t="shared" si="4"/>
        <v>2942.5919999999996</v>
      </c>
      <c r="S51" s="192">
        <f t="shared" si="5"/>
        <v>3012.36</v>
      </c>
      <c r="U51" s="350"/>
    </row>
    <row r="52" spans="1:21" ht="24.95" customHeight="1">
      <c r="A52" s="193" t="s">
        <v>112</v>
      </c>
      <c r="B52" s="194" t="s">
        <v>17</v>
      </c>
      <c r="C52" s="195" t="s">
        <v>221</v>
      </c>
      <c r="D52" s="190">
        <v>52400</v>
      </c>
      <c r="E52" s="190">
        <v>2719</v>
      </c>
      <c r="F52" s="190">
        <v>13514</v>
      </c>
      <c r="G52" s="190">
        <v>2112</v>
      </c>
      <c r="H52" s="190">
        <v>29339</v>
      </c>
      <c r="I52" s="190">
        <v>4716</v>
      </c>
      <c r="J52" s="190">
        <f t="shared" si="0"/>
        <v>44965</v>
      </c>
      <c r="K52" s="329">
        <v>6.3E-2</v>
      </c>
      <c r="L52" s="329">
        <v>0.21899999999999997</v>
      </c>
      <c r="M52" s="330">
        <v>0.17</v>
      </c>
      <c r="N52" s="191">
        <f t="shared" si="1"/>
        <v>171.297</v>
      </c>
      <c r="O52" s="192">
        <f t="shared" si="2"/>
        <v>851.38200000000006</v>
      </c>
      <c r="P52" s="192">
        <f t="shared" si="2"/>
        <v>462.52799999999996</v>
      </c>
      <c r="Q52" s="192">
        <f t="shared" si="3"/>
        <v>6425.2409999999991</v>
      </c>
      <c r="R52" s="192">
        <f t="shared" si="4"/>
        <v>6887.7689999999993</v>
      </c>
      <c r="S52" s="192">
        <f t="shared" si="5"/>
        <v>7644.05</v>
      </c>
      <c r="U52" s="350"/>
    </row>
    <row r="53" spans="1:21" ht="24.95" customHeight="1">
      <c r="A53" s="193" t="s">
        <v>78</v>
      </c>
      <c r="B53" s="194" t="s">
        <v>381</v>
      </c>
      <c r="C53" s="195" t="s">
        <v>222</v>
      </c>
      <c r="D53" s="190">
        <v>5720</v>
      </c>
      <c r="E53" s="190">
        <v>136</v>
      </c>
      <c r="F53" s="190">
        <v>841</v>
      </c>
      <c r="G53" s="190">
        <v>188</v>
      </c>
      <c r="H53" s="190">
        <v>3506</v>
      </c>
      <c r="I53" s="190">
        <v>1049</v>
      </c>
      <c r="J53" s="190">
        <f t="shared" si="0"/>
        <v>4535</v>
      </c>
      <c r="K53" s="329">
        <v>8.8000000000000009E-2</v>
      </c>
      <c r="L53" s="329">
        <v>0.20399999999999999</v>
      </c>
      <c r="M53" s="330">
        <v>0.17399999999999999</v>
      </c>
      <c r="N53" s="191">
        <f t="shared" si="1"/>
        <v>11.968000000000002</v>
      </c>
      <c r="O53" s="192">
        <f t="shared" si="2"/>
        <v>74.00800000000001</v>
      </c>
      <c r="P53" s="192">
        <f t="shared" si="2"/>
        <v>38.351999999999997</v>
      </c>
      <c r="Q53" s="192">
        <f t="shared" si="3"/>
        <v>715.22399999999993</v>
      </c>
      <c r="R53" s="192">
        <f t="shared" si="4"/>
        <v>753.57599999999991</v>
      </c>
      <c r="S53" s="192">
        <f t="shared" si="5"/>
        <v>789.08999999999992</v>
      </c>
      <c r="U53" s="350"/>
    </row>
    <row r="54" spans="1:21" ht="24.95" customHeight="1">
      <c r="A54" s="193" t="s">
        <v>105</v>
      </c>
      <c r="B54" s="194" t="s">
        <v>16</v>
      </c>
      <c r="C54" s="195" t="s">
        <v>221</v>
      </c>
      <c r="D54" s="190">
        <v>171400</v>
      </c>
      <c r="E54" s="190">
        <v>5467</v>
      </c>
      <c r="F54" s="190">
        <v>33440</v>
      </c>
      <c r="G54" s="190">
        <v>6827</v>
      </c>
      <c r="H54" s="190">
        <v>99775</v>
      </c>
      <c r="I54" s="190">
        <v>25891</v>
      </c>
      <c r="J54" s="190">
        <f t="shared" si="0"/>
        <v>140042</v>
      </c>
      <c r="K54" s="329">
        <v>5.9000000000000004E-2</v>
      </c>
      <c r="L54" s="329">
        <v>0.182</v>
      </c>
      <c r="M54" s="330">
        <v>0.14699999999999999</v>
      </c>
      <c r="N54" s="191">
        <f t="shared" si="1"/>
        <v>322.553</v>
      </c>
      <c r="O54" s="192">
        <f t="shared" si="2"/>
        <v>1972.96</v>
      </c>
      <c r="P54" s="192">
        <f t="shared" si="2"/>
        <v>1242.5139999999999</v>
      </c>
      <c r="Q54" s="192">
        <f t="shared" si="3"/>
        <v>18159.05</v>
      </c>
      <c r="R54" s="192">
        <f t="shared" si="4"/>
        <v>19401.563999999998</v>
      </c>
      <c r="S54" s="192">
        <f t="shared" si="5"/>
        <v>20586.173999999999</v>
      </c>
      <c r="U54" s="350"/>
    </row>
    <row r="55" spans="1:21" ht="24.95" customHeight="1">
      <c r="A55" s="193" t="s">
        <v>129</v>
      </c>
      <c r="B55" s="194" t="s">
        <v>428</v>
      </c>
      <c r="C55" s="195" t="s">
        <v>222</v>
      </c>
      <c r="D55" s="190">
        <v>41516</v>
      </c>
      <c r="E55" s="190">
        <v>1153</v>
      </c>
      <c r="F55" s="190">
        <v>6147</v>
      </c>
      <c r="G55" s="190">
        <v>3891</v>
      </c>
      <c r="H55" s="190">
        <v>22534</v>
      </c>
      <c r="I55" s="190">
        <v>7791</v>
      </c>
      <c r="J55" s="190">
        <f t="shared" si="0"/>
        <v>32572</v>
      </c>
      <c r="K55" s="329">
        <v>8.1000000000000003E-2</v>
      </c>
      <c r="L55" s="329">
        <v>0.23899999999999999</v>
      </c>
      <c r="M55" s="330">
        <v>0.20199999999999999</v>
      </c>
      <c r="N55" s="191">
        <f t="shared" si="1"/>
        <v>93.393000000000001</v>
      </c>
      <c r="O55" s="192">
        <f t="shared" si="2"/>
        <v>497.90700000000004</v>
      </c>
      <c r="P55" s="192">
        <f t="shared" si="2"/>
        <v>929.94899999999996</v>
      </c>
      <c r="Q55" s="192">
        <f t="shared" si="3"/>
        <v>5385.6260000000002</v>
      </c>
      <c r="R55" s="192">
        <f t="shared" si="4"/>
        <v>6315.5749999999998</v>
      </c>
      <c r="S55" s="192">
        <f t="shared" si="5"/>
        <v>6579.5439999999999</v>
      </c>
      <c r="U55" s="350"/>
    </row>
    <row r="56" spans="1:21" ht="24.95" customHeight="1">
      <c r="A56" s="193" t="s">
        <v>43</v>
      </c>
      <c r="B56" s="194" t="s">
        <v>13</v>
      </c>
      <c r="C56" s="195" t="s">
        <v>221</v>
      </c>
      <c r="D56" s="190">
        <v>186764</v>
      </c>
      <c r="E56" s="190">
        <v>6930</v>
      </c>
      <c r="F56" s="190">
        <v>41058</v>
      </c>
      <c r="G56" s="190">
        <v>7294</v>
      </c>
      <c r="H56" s="190">
        <v>107759</v>
      </c>
      <c r="I56" s="190">
        <v>23723</v>
      </c>
      <c r="J56" s="190">
        <f t="shared" si="0"/>
        <v>156111</v>
      </c>
      <c r="K56" s="329">
        <v>6.3E-2</v>
      </c>
      <c r="L56" s="329">
        <v>0.20300000000000001</v>
      </c>
      <c r="M56" s="330">
        <v>0.16</v>
      </c>
      <c r="N56" s="191">
        <f t="shared" si="1"/>
        <v>436.59</v>
      </c>
      <c r="O56" s="192">
        <f t="shared" si="2"/>
        <v>2586.654</v>
      </c>
      <c r="P56" s="192">
        <f t="shared" si="2"/>
        <v>1480.682</v>
      </c>
      <c r="Q56" s="192">
        <f t="shared" si="3"/>
        <v>21875.077000000001</v>
      </c>
      <c r="R56" s="192">
        <f t="shared" si="4"/>
        <v>23355.759000000002</v>
      </c>
      <c r="S56" s="192">
        <f t="shared" si="5"/>
        <v>24977.760000000002</v>
      </c>
      <c r="U56" s="350"/>
    </row>
    <row r="57" spans="1:21" ht="24.95" customHeight="1">
      <c r="A57" s="193" t="s">
        <v>79</v>
      </c>
      <c r="B57" s="194" t="s">
        <v>381</v>
      </c>
      <c r="C57" s="195" t="s">
        <v>221</v>
      </c>
      <c r="D57" s="190">
        <v>10518</v>
      </c>
      <c r="E57" s="190">
        <v>326</v>
      </c>
      <c r="F57" s="190">
        <v>1789</v>
      </c>
      <c r="G57" s="190">
        <v>309</v>
      </c>
      <c r="H57" s="190">
        <v>6024</v>
      </c>
      <c r="I57" s="190">
        <v>2070</v>
      </c>
      <c r="J57" s="190">
        <f t="shared" si="0"/>
        <v>8122</v>
      </c>
      <c r="K57" s="329">
        <v>7.400000000000001E-2</v>
      </c>
      <c r="L57" s="329">
        <v>0.20199999999999999</v>
      </c>
      <c r="M57" s="330">
        <v>0.17</v>
      </c>
      <c r="N57" s="191">
        <f t="shared" si="1"/>
        <v>24.124000000000002</v>
      </c>
      <c r="O57" s="192">
        <f t="shared" si="2"/>
        <v>132.38600000000002</v>
      </c>
      <c r="P57" s="192">
        <f t="shared" si="2"/>
        <v>62.417999999999992</v>
      </c>
      <c r="Q57" s="192">
        <f t="shared" si="3"/>
        <v>1216.848</v>
      </c>
      <c r="R57" s="192">
        <f t="shared" si="4"/>
        <v>1279.2659999999998</v>
      </c>
      <c r="S57" s="192">
        <f t="shared" si="5"/>
        <v>1380.74</v>
      </c>
      <c r="U57" s="350"/>
    </row>
    <row r="58" spans="1:21" ht="24.95" customHeight="1">
      <c r="A58" s="193" t="s">
        <v>113</v>
      </c>
      <c r="B58" s="194" t="s">
        <v>17</v>
      </c>
      <c r="C58" s="195" t="s">
        <v>222</v>
      </c>
      <c r="D58" s="190">
        <v>59211</v>
      </c>
      <c r="E58" s="190">
        <v>2363</v>
      </c>
      <c r="F58" s="190">
        <v>12543</v>
      </c>
      <c r="G58" s="190">
        <v>2307</v>
      </c>
      <c r="H58" s="190">
        <v>32698</v>
      </c>
      <c r="I58" s="190">
        <v>9300</v>
      </c>
      <c r="J58" s="190">
        <f t="shared" si="0"/>
        <v>47548</v>
      </c>
      <c r="K58" s="329">
        <v>6.4000000000000001E-2</v>
      </c>
      <c r="L58" s="329">
        <v>0.223</v>
      </c>
      <c r="M58" s="330">
        <v>0.17499999999999999</v>
      </c>
      <c r="N58" s="191">
        <f t="shared" si="1"/>
        <v>151.232</v>
      </c>
      <c r="O58" s="192">
        <f t="shared" si="2"/>
        <v>802.75200000000007</v>
      </c>
      <c r="P58" s="192">
        <f t="shared" si="2"/>
        <v>514.46100000000001</v>
      </c>
      <c r="Q58" s="192">
        <f t="shared" si="3"/>
        <v>7291.6540000000005</v>
      </c>
      <c r="R58" s="192">
        <f t="shared" si="4"/>
        <v>7806.1150000000007</v>
      </c>
      <c r="S58" s="192">
        <f t="shared" si="5"/>
        <v>8320.9</v>
      </c>
      <c r="U58" s="350"/>
    </row>
    <row r="59" spans="1:21" ht="24.95" customHeight="1">
      <c r="A59" s="193" t="s">
        <v>93</v>
      </c>
      <c r="B59" s="194" t="s">
        <v>15</v>
      </c>
      <c r="C59" s="195" t="s">
        <v>222</v>
      </c>
      <c r="D59" s="190">
        <v>58732</v>
      </c>
      <c r="E59" s="190">
        <v>1990</v>
      </c>
      <c r="F59" s="190">
        <v>11190</v>
      </c>
      <c r="G59" s="190">
        <v>2137</v>
      </c>
      <c r="H59" s="190">
        <v>32591</v>
      </c>
      <c r="I59" s="190">
        <v>10824</v>
      </c>
      <c r="J59" s="190">
        <f t="shared" si="0"/>
        <v>45918</v>
      </c>
      <c r="K59" s="329">
        <v>5.2000000000000005E-2</v>
      </c>
      <c r="L59" s="329">
        <v>0.19800000000000001</v>
      </c>
      <c r="M59" s="330">
        <v>0.158</v>
      </c>
      <c r="N59" s="191">
        <f t="shared" si="1"/>
        <v>103.48</v>
      </c>
      <c r="O59" s="192">
        <f t="shared" si="2"/>
        <v>581.88</v>
      </c>
      <c r="P59" s="192">
        <f t="shared" si="2"/>
        <v>423.12600000000003</v>
      </c>
      <c r="Q59" s="192">
        <f t="shared" si="3"/>
        <v>6453.018</v>
      </c>
      <c r="R59" s="192">
        <f t="shared" si="4"/>
        <v>6876.1440000000002</v>
      </c>
      <c r="S59" s="192">
        <f t="shared" si="5"/>
        <v>7255.0439999999999</v>
      </c>
      <c r="U59" s="350"/>
    </row>
    <row r="60" spans="1:21" ht="24.95" customHeight="1">
      <c r="A60" s="193" t="s">
        <v>106</v>
      </c>
      <c r="B60" s="194" t="s">
        <v>16</v>
      </c>
      <c r="C60" s="195" t="s">
        <v>221</v>
      </c>
      <c r="D60" s="190">
        <v>81417</v>
      </c>
      <c r="E60" s="190">
        <v>2404</v>
      </c>
      <c r="F60" s="190">
        <v>14718</v>
      </c>
      <c r="G60" s="190">
        <v>3006</v>
      </c>
      <c r="H60" s="190">
        <v>47673</v>
      </c>
      <c r="I60" s="190">
        <v>13616</v>
      </c>
      <c r="J60" s="190">
        <f t="shared" si="0"/>
        <v>65397</v>
      </c>
      <c r="K60" s="329">
        <v>6.0999999999999999E-2</v>
      </c>
      <c r="L60" s="329">
        <v>0.18600000000000003</v>
      </c>
      <c r="M60" s="330">
        <v>0.153</v>
      </c>
      <c r="N60" s="191">
        <f t="shared" si="1"/>
        <v>146.64400000000001</v>
      </c>
      <c r="O60" s="192">
        <f t="shared" si="2"/>
        <v>897.798</v>
      </c>
      <c r="P60" s="192">
        <f t="shared" si="2"/>
        <v>559.1160000000001</v>
      </c>
      <c r="Q60" s="192">
        <f t="shared" si="3"/>
        <v>8867.1780000000017</v>
      </c>
      <c r="R60" s="192">
        <f t="shared" si="4"/>
        <v>9426.2940000000017</v>
      </c>
      <c r="S60" s="192">
        <f t="shared" si="5"/>
        <v>10005.741</v>
      </c>
      <c r="U60" s="350"/>
    </row>
    <row r="61" spans="1:21" ht="24.95" customHeight="1">
      <c r="A61" s="193" t="s">
        <v>130</v>
      </c>
      <c r="B61" s="194" t="s">
        <v>428</v>
      </c>
      <c r="C61" s="195" t="s">
        <v>222</v>
      </c>
      <c r="D61" s="190">
        <v>35279</v>
      </c>
      <c r="E61" s="190">
        <v>1034</v>
      </c>
      <c r="F61" s="190">
        <v>5535</v>
      </c>
      <c r="G61" s="190">
        <v>1162</v>
      </c>
      <c r="H61" s="190">
        <v>17852</v>
      </c>
      <c r="I61" s="190">
        <v>9696</v>
      </c>
      <c r="J61" s="190">
        <f t="shared" si="0"/>
        <v>24549</v>
      </c>
      <c r="K61" s="329">
        <v>9.6000000000000002E-2</v>
      </c>
      <c r="L61" s="329">
        <v>0.247</v>
      </c>
      <c r="M61" s="330">
        <v>0.20800000000000002</v>
      </c>
      <c r="N61" s="191">
        <f t="shared" si="1"/>
        <v>99.263999999999996</v>
      </c>
      <c r="O61" s="192">
        <f t="shared" si="2"/>
        <v>531.36</v>
      </c>
      <c r="P61" s="192">
        <f t="shared" si="2"/>
        <v>287.01400000000001</v>
      </c>
      <c r="Q61" s="192">
        <f t="shared" si="3"/>
        <v>4409.4439999999995</v>
      </c>
      <c r="R61" s="192">
        <f t="shared" si="4"/>
        <v>4696.4579999999996</v>
      </c>
      <c r="S61" s="192">
        <f t="shared" si="5"/>
        <v>5106.192</v>
      </c>
      <c r="U61" s="350"/>
    </row>
    <row r="62" spans="1:21" ht="24.95" customHeight="1">
      <c r="A62" s="193" t="s">
        <v>131</v>
      </c>
      <c r="B62" s="194" t="s">
        <v>428</v>
      </c>
      <c r="C62" s="195" t="s">
        <v>221</v>
      </c>
      <c r="D62" s="190">
        <v>21875</v>
      </c>
      <c r="E62" s="190">
        <v>568</v>
      </c>
      <c r="F62" s="190">
        <v>3392</v>
      </c>
      <c r="G62" s="190">
        <v>1247</v>
      </c>
      <c r="H62" s="190">
        <v>12014</v>
      </c>
      <c r="I62" s="190">
        <v>4654</v>
      </c>
      <c r="J62" s="190">
        <f t="shared" si="0"/>
        <v>16653</v>
      </c>
      <c r="K62" s="329">
        <v>5.5999999999999994E-2</v>
      </c>
      <c r="L62" s="329">
        <v>0.185</v>
      </c>
      <c r="M62" s="330">
        <v>0.152</v>
      </c>
      <c r="N62" s="191">
        <f t="shared" si="1"/>
        <v>31.807999999999996</v>
      </c>
      <c r="O62" s="192">
        <f t="shared" si="2"/>
        <v>189.95199999999997</v>
      </c>
      <c r="P62" s="192">
        <f t="shared" si="2"/>
        <v>230.69499999999999</v>
      </c>
      <c r="Q62" s="192">
        <f t="shared" si="3"/>
        <v>2222.59</v>
      </c>
      <c r="R62" s="192">
        <f t="shared" si="4"/>
        <v>2453.2850000000003</v>
      </c>
      <c r="S62" s="192">
        <f t="shared" si="5"/>
        <v>2531.2559999999999</v>
      </c>
      <c r="U62" s="350"/>
    </row>
    <row r="63" spans="1:21" ht="24.95" customHeight="1">
      <c r="A63" s="193" t="s">
        <v>80</v>
      </c>
      <c r="B63" s="194" t="s">
        <v>381</v>
      </c>
      <c r="C63" s="195" t="s">
        <v>222</v>
      </c>
      <c r="D63" s="190">
        <v>23494</v>
      </c>
      <c r="E63" s="190">
        <v>732</v>
      </c>
      <c r="F63" s="190">
        <v>4151</v>
      </c>
      <c r="G63" s="190">
        <v>693</v>
      </c>
      <c r="H63" s="190">
        <v>12962</v>
      </c>
      <c r="I63" s="190">
        <v>4956</v>
      </c>
      <c r="J63" s="190">
        <f t="shared" si="0"/>
        <v>17806</v>
      </c>
      <c r="K63" s="329">
        <v>5.5E-2</v>
      </c>
      <c r="L63" s="329">
        <v>0.185</v>
      </c>
      <c r="M63" s="330">
        <v>0.151</v>
      </c>
      <c r="N63" s="191">
        <f t="shared" si="1"/>
        <v>40.26</v>
      </c>
      <c r="O63" s="192">
        <f t="shared" si="2"/>
        <v>228.30500000000001</v>
      </c>
      <c r="P63" s="192">
        <f t="shared" si="2"/>
        <v>128.20500000000001</v>
      </c>
      <c r="Q63" s="192">
        <f t="shared" si="3"/>
        <v>2397.9699999999998</v>
      </c>
      <c r="R63" s="192">
        <f t="shared" si="4"/>
        <v>2526.1749999999997</v>
      </c>
      <c r="S63" s="192">
        <f t="shared" si="5"/>
        <v>2688.7060000000001</v>
      </c>
      <c r="U63" s="350"/>
    </row>
    <row r="64" spans="1:21" ht="24.95" customHeight="1">
      <c r="A64" s="193" t="s">
        <v>132</v>
      </c>
      <c r="B64" s="194" t="s">
        <v>428</v>
      </c>
      <c r="C64" s="195" t="s">
        <v>222</v>
      </c>
      <c r="D64" s="190">
        <v>45437</v>
      </c>
      <c r="E64" s="190">
        <v>1331</v>
      </c>
      <c r="F64" s="190">
        <v>7925</v>
      </c>
      <c r="G64" s="190">
        <v>1557</v>
      </c>
      <c r="H64" s="190">
        <v>25784</v>
      </c>
      <c r="I64" s="190">
        <v>8840</v>
      </c>
      <c r="J64" s="190">
        <f t="shared" si="0"/>
        <v>35266</v>
      </c>
      <c r="K64" s="329">
        <v>5.2999999999999999E-2</v>
      </c>
      <c r="L64" s="329">
        <v>0.191</v>
      </c>
      <c r="M64" s="330">
        <v>0.155</v>
      </c>
      <c r="N64" s="191">
        <f t="shared" si="1"/>
        <v>70.542999999999992</v>
      </c>
      <c r="O64" s="192">
        <f t="shared" si="2"/>
        <v>420.02499999999998</v>
      </c>
      <c r="P64" s="192">
        <f t="shared" si="2"/>
        <v>297.387</v>
      </c>
      <c r="Q64" s="192">
        <f t="shared" si="3"/>
        <v>4924.7439999999997</v>
      </c>
      <c r="R64" s="192">
        <f t="shared" si="4"/>
        <v>5222.1309999999994</v>
      </c>
      <c r="S64" s="192">
        <f t="shared" si="5"/>
        <v>5466.23</v>
      </c>
      <c r="U64" s="350"/>
    </row>
    <row r="65" spans="1:21" ht="24.95" customHeight="1">
      <c r="A65" s="193" t="s">
        <v>100</v>
      </c>
      <c r="B65" s="194" t="s">
        <v>14</v>
      </c>
      <c r="C65" s="195" t="s">
        <v>221</v>
      </c>
      <c r="D65" s="190">
        <v>1054561</v>
      </c>
      <c r="E65" s="190">
        <v>42441</v>
      </c>
      <c r="F65" s="190">
        <v>211891</v>
      </c>
      <c r="G65" s="190">
        <v>36404</v>
      </c>
      <c r="H65" s="190">
        <v>651596</v>
      </c>
      <c r="I65" s="190">
        <v>112229</v>
      </c>
      <c r="J65" s="190">
        <f t="shared" si="0"/>
        <v>899891</v>
      </c>
      <c r="K65" s="329">
        <v>5.2000000000000005E-2</v>
      </c>
      <c r="L65" s="329">
        <v>0.187</v>
      </c>
      <c r="M65" s="330">
        <v>0.14899999999999999</v>
      </c>
      <c r="N65" s="191">
        <f t="shared" si="1"/>
        <v>2206.9320000000002</v>
      </c>
      <c r="O65" s="192">
        <f t="shared" si="2"/>
        <v>11018.332</v>
      </c>
      <c r="P65" s="192">
        <f t="shared" si="2"/>
        <v>6807.5479999999998</v>
      </c>
      <c r="Q65" s="192">
        <f t="shared" si="3"/>
        <v>121848.452</v>
      </c>
      <c r="R65" s="192">
        <f t="shared" si="4"/>
        <v>128656</v>
      </c>
      <c r="S65" s="192">
        <f t="shared" si="5"/>
        <v>134083.75899999999</v>
      </c>
      <c r="U65" s="350"/>
    </row>
    <row r="66" spans="1:21" ht="24.95" customHeight="1">
      <c r="A66" s="193" t="s">
        <v>133</v>
      </c>
      <c r="B66" s="194" t="s">
        <v>428</v>
      </c>
      <c r="C66" s="195" t="s">
        <v>222</v>
      </c>
      <c r="D66" s="190">
        <v>15894</v>
      </c>
      <c r="E66" s="190">
        <v>459</v>
      </c>
      <c r="F66" s="190">
        <v>2443</v>
      </c>
      <c r="G66" s="190">
        <v>385</v>
      </c>
      <c r="H66" s="190">
        <v>8944</v>
      </c>
      <c r="I66" s="190">
        <v>3663</v>
      </c>
      <c r="J66" s="190">
        <f t="shared" si="0"/>
        <v>11772</v>
      </c>
      <c r="K66" s="329">
        <v>6.7000000000000004E-2</v>
      </c>
      <c r="L66" s="329">
        <v>0.192</v>
      </c>
      <c r="M66" s="330">
        <v>0.161</v>
      </c>
      <c r="N66" s="191">
        <f t="shared" si="1"/>
        <v>30.753</v>
      </c>
      <c r="O66" s="192">
        <f t="shared" si="2"/>
        <v>163.68100000000001</v>
      </c>
      <c r="P66" s="192">
        <f t="shared" si="2"/>
        <v>73.92</v>
      </c>
      <c r="Q66" s="192">
        <f t="shared" si="3"/>
        <v>1717.248</v>
      </c>
      <c r="R66" s="192">
        <f t="shared" si="4"/>
        <v>1791.1680000000001</v>
      </c>
      <c r="S66" s="192">
        <f t="shared" si="5"/>
        <v>1895.2920000000001</v>
      </c>
      <c r="U66" s="350"/>
    </row>
    <row r="67" spans="1:21" ht="24.95" customHeight="1">
      <c r="A67" s="193" t="s">
        <v>114</v>
      </c>
      <c r="B67" s="194" t="s">
        <v>17</v>
      </c>
      <c r="C67" s="195" t="s">
        <v>222</v>
      </c>
      <c r="D67" s="190">
        <v>27864</v>
      </c>
      <c r="E67" s="190">
        <v>917</v>
      </c>
      <c r="F67" s="190">
        <v>5322</v>
      </c>
      <c r="G67" s="190">
        <v>1103</v>
      </c>
      <c r="H67" s="190">
        <v>15118</v>
      </c>
      <c r="I67" s="190">
        <v>5404</v>
      </c>
      <c r="J67" s="190">
        <f t="shared" si="0"/>
        <v>21543</v>
      </c>
      <c r="K67" s="329">
        <v>7.5999999999999998E-2</v>
      </c>
      <c r="L67" s="329">
        <v>0.252</v>
      </c>
      <c r="M67" s="330">
        <v>0.20100000000000001</v>
      </c>
      <c r="N67" s="191">
        <f t="shared" si="1"/>
        <v>69.691999999999993</v>
      </c>
      <c r="O67" s="192">
        <f t="shared" si="2"/>
        <v>404.47199999999998</v>
      </c>
      <c r="P67" s="192">
        <f t="shared" si="2"/>
        <v>277.95600000000002</v>
      </c>
      <c r="Q67" s="192">
        <f t="shared" si="3"/>
        <v>3809.7359999999999</v>
      </c>
      <c r="R67" s="192">
        <f t="shared" si="4"/>
        <v>4087.692</v>
      </c>
      <c r="S67" s="192">
        <f t="shared" si="5"/>
        <v>4330.143</v>
      </c>
      <c r="U67" s="350"/>
    </row>
    <row r="68" spans="1:21" ht="24.95" customHeight="1">
      <c r="A68" s="193" t="s">
        <v>115</v>
      </c>
      <c r="B68" s="194" t="s">
        <v>17</v>
      </c>
      <c r="C68" s="195" t="s">
        <v>222</v>
      </c>
      <c r="D68" s="190">
        <v>95327</v>
      </c>
      <c r="E68" s="190">
        <v>3056</v>
      </c>
      <c r="F68" s="190">
        <v>16749</v>
      </c>
      <c r="G68" s="190">
        <v>3102</v>
      </c>
      <c r="H68" s="190">
        <v>48149</v>
      </c>
      <c r="I68" s="190">
        <v>24271</v>
      </c>
      <c r="J68" s="190">
        <f t="shared" si="0"/>
        <v>68000</v>
      </c>
      <c r="K68" s="329">
        <v>6.2E-2</v>
      </c>
      <c r="L68" s="329">
        <v>0.184</v>
      </c>
      <c r="M68" s="330">
        <v>0.15</v>
      </c>
      <c r="N68" s="191">
        <f t="shared" si="1"/>
        <v>189.47200000000001</v>
      </c>
      <c r="O68" s="192">
        <f t="shared" si="2"/>
        <v>1038.4380000000001</v>
      </c>
      <c r="P68" s="192">
        <f t="shared" si="2"/>
        <v>570.76800000000003</v>
      </c>
      <c r="Q68" s="192">
        <f t="shared" si="3"/>
        <v>8859.4159999999993</v>
      </c>
      <c r="R68" s="192">
        <f t="shared" si="4"/>
        <v>9430.1839999999993</v>
      </c>
      <c r="S68" s="192">
        <f t="shared" si="5"/>
        <v>10200</v>
      </c>
      <c r="U68" s="350"/>
    </row>
    <row r="69" spans="1:21" ht="24.95" customHeight="1">
      <c r="A69" s="193" t="s">
        <v>94</v>
      </c>
      <c r="B69" s="194" t="s">
        <v>15</v>
      </c>
      <c r="C69" s="195" t="s">
        <v>221</v>
      </c>
      <c r="D69" s="190">
        <v>94140</v>
      </c>
      <c r="E69" s="190">
        <v>3087</v>
      </c>
      <c r="F69" s="190">
        <v>17436</v>
      </c>
      <c r="G69" s="190">
        <v>3480</v>
      </c>
      <c r="H69" s="190">
        <v>53723</v>
      </c>
      <c r="I69" s="190">
        <v>16414</v>
      </c>
      <c r="J69" s="190">
        <f t="shared" si="0"/>
        <v>74639</v>
      </c>
      <c r="K69" s="329">
        <v>5.2999999999999999E-2</v>
      </c>
      <c r="L69" s="329">
        <v>0.193</v>
      </c>
      <c r="M69" s="330">
        <v>0.154</v>
      </c>
      <c r="N69" s="191">
        <f t="shared" si="1"/>
        <v>163.61099999999999</v>
      </c>
      <c r="O69" s="192">
        <f t="shared" si="2"/>
        <v>924.10799999999995</v>
      </c>
      <c r="P69" s="192">
        <f t="shared" si="2"/>
        <v>671.64</v>
      </c>
      <c r="Q69" s="192">
        <f t="shared" si="3"/>
        <v>10368.539000000001</v>
      </c>
      <c r="R69" s="192">
        <f t="shared" si="4"/>
        <v>11040.179</v>
      </c>
      <c r="S69" s="192">
        <f t="shared" si="5"/>
        <v>11494.405999999999</v>
      </c>
      <c r="U69" s="350"/>
    </row>
    <row r="70" spans="1:21" ht="24.95" customHeight="1">
      <c r="A70" s="193" t="s">
        <v>66</v>
      </c>
      <c r="B70" s="194" t="s">
        <v>381</v>
      </c>
      <c r="C70" s="195" t="s">
        <v>221</v>
      </c>
      <c r="D70" s="190">
        <v>223260</v>
      </c>
      <c r="E70" s="190">
        <v>6757</v>
      </c>
      <c r="F70" s="190">
        <v>35610</v>
      </c>
      <c r="G70" s="190">
        <v>11703</v>
      </c>
      <c r="H70" s="190">
        <v>132527</v>
      </c>
      <c r="I70" s="190">
        <v>36663</v>
      </c>
      <c r="J70" s="190">
        <f t="shared" ref="J70:J105" si="6">SUM(F70:H70)</f>
        <v>179840</v>
      </c>
      <c r="K70" s="329">
        <v>5.4000000000000006E-2</v>
      </c>
      <c r="L70" s="329">
        <v>0.17399999999999999</v>
      </c>
      <c r="M70" s="330">
        <v>0.14499999999999999</v>
      </c>
      <c r="N70" s="191">
        <f t="shared" si="1"/>
        <v>364.87800000000004</v>
      </c>
      <c r="O70" s="192">
        <f t="shared" si="2"/>
        <v>1922.9400000000003</v>
      </c>
      <c r="P70" s="192">
        <f t="shared" si="2"/>
        <v>2036.3219999999999</v>
      </c>
      <c r="Q70" s="192">
        <f t="shared" si="3"/>
        <v>23059.697999999997</v>
      </c>
      <c r="R70" s="192">
        <f t="shared" si="4"/>
        <v>25096.019999999997</v>
      </c>
      <c r="S70" s="192">
        <f t="shared" si="5"/>
        <v>26076.799999999999</v>
      </c>
      <c r="U70" s="350"/>
    </row>
    <row r="71" spans="1:21" ht="24.95" customHeight="1">
      <c r="A71" s="193" t="s">
        <v>81</v>
      </c>
      <c r="B71" s="194" t="s">
        <v>381</v>
      </c>
      <c r="C71" s="195" t="s">
        <v>222</v>
      </c>
      <c r="D71" s="190">
        <v>20960</v>
      </c>
      <c r="E71" s="190">
        <v>550</v>
      </c>
      <c r="F71" s="190">
        <v>3402</v>
      </c>
      <c r="G71" s="190">
        <v>548</v>
      </c>
      <c r="H71" s="190">
        <v>11736</v>
      </c>
      <c r="I71" s="190">
        <v>4724</v>
      </c>
      <c r="J71" s="190">
        <f t="shared" si="6"/>
        <v>15686</v>
      </c>
      <c r="K71" s="329">
        <v>5.0999999999999997E-2</v>
      </c>
      <c r="L71" s="329">
        <v>0.17899999999999999</v>
      </c>
      <c r="M71" s="330">
        <v>0.14699999999999999</v>
      </c>
      <c r="N71" s="191">
        <f t="shared" ref="N71:N105" si="7">E71*K71</f>
        <v>28.049999999999997</v>
      </c>
      <c r="O71" s="192">
        <f t="shared" ref="O71:P105" si="8">F71*K71</f>
        <v>173.50199999999998</v>
      </c>
      <c r="P71" s="192">
        <f t="shared" si="8"/>
        <v>98.091999999999999</v>
      </c>
      <c r="Q71" s="192">
        <f t="shared" ref="Q71:Q105" si="9">H71*L71</f>
        <v>2100.7439999999997</v>
      </c>
      <c r="R71" s="192">
        <f t="shared" ref="R71:R105" si="10">SUM(P71:Q71)</f>
        <v>2198.8359999999998</v>
      </c>
      <c r="S71" s="192">
        <f t="shared" ref="S71:S105" si="11">J71*M71</f>
        <v>2305.8420000000001</v>
      </c>
      <c r="U71" s="350"/>
    </row>
    <row r="72" spans="1:21" ht="24.95" customHeight="1">
      <c r="A72" s="193" t="s">
        <v>67</v>
      </c>
      <c r="B72" s="194" t="s">
        <v>381</v>
      </c>
      <c r="C72" s="195" t="s">
        <v>221</v>
      </c>
      <c r="D72" s="190">
        <v>195835</v>
      </c>
      <c r="E72" s="190">
        <v>12364</v>
      </c>
      <c r="F72" s="190">
        <v>44167</v>
      </c>
      <c r="G72" s="190">
        <v>14655</v>
      </c>
      <c r="H72" s="190">
        <v>107185</v>
      </c>
      <c r="I72" s="190">
        <v>17464</v>
      </c>
      <c r="J72" s="190">
        <f t="shared" si="6"/>
        <v>166007</v>
      </c>
      <c r="K72" s="329">
        <v>0.04</v>
      </c>
      <c r="L72" s="329">
        <v>0.14699999999999999</v>
      </c>
      <c r="M72" s="330">
        <v>0.115</v>
      </c>
      <c r="N72" s="191">
        <f t="shared" si="7"/>
        <v>494.56</v>
      </c>
      <c r="O72" s="192">
        <f t="shared" si="8"/>
        <v>1766.68</v>
      </c>
      <c r="P72" s="192">
        <f t="shared" si="8"/>
        <v>2154.2849999999999</v>
      </c>
      <c r="Q72" s="192">
        <f t="shared" si="9"/>
        <v>15756.195</v>
      </c>
      <c r="R72" s="192">
        <f t="shared" si="10"/>
        <v>17910.48</v>
      </c>
      <c r="S72" s="192">
        <f t="shared" si="11"/>
        <v>19090.805</v>
      </c>
      <c r="U72" s="350"/>
    </row>
    <row r="73" spans="1:21" ht="24.95" customHeight="1">
      <c r="A73" s="193" t="s">
        <v>53</v>
      </c>
      <c r="B73" s="194" t="s">
        <v>14</v>
      </c>
      <c r="C73" s="195" t="s">
        <v>221</v>
      </c>
      <c r="D73" s="190">
        <v>143264</v>
      </c>
      <c r="E73" s="190">
        <v>3669</v>
      </c>
      <c r="F73" s="190">
        <v>23711</v>
      </c>
      <c r="G73" s="190">
        <v>12214</v>
      </c>
      <c r="H73" s="190">
        <v>85462</v>
      </c>
      <c r="I73" s="190">
        <v>18208</v>
      </c>
      <c r="J73" s="190">
        <f t="shared" si="6"/>
        <v>121387</v>
      </c>
      <c r="K73" s="329">
        <v>5.7000000000000002E-2</v>
      </c>
      <c r="L73" s="329">
        <v>0.14400000000000002</v>
      </c>
      <c r="M73" s="330">
        <v>0.121</v>
      </c>
      <c r="N73" s="191">
        <f t="shared" si="7"/>
        <v>209.13300000000001</v>
      </c>
      <c r="O73" s="192">
        <f t="shared" si="8"/>
        <v>1351.527</v>
      </c>
      <c r="P73" s="192">
        <f t="shared" si="8"/>
        <v>1758.8160000000003</v>
      </c>
      <c r="Q73" s="192">
        <f t="shared" si="9"/>
        <v>12306.528000000002</v>
      </c>
      <c r="R73" s="192">
        <f t="shared" si="10"/>
        <v>14065.344000000003</v>
      </c>
      <c r="S73" s="192">
        <f t="shared" si="11"/>
        <v>14687.826999999999</v>
      </c>
      <c r="U73" s="350"/>
    </row>
    <row r="74" spans="1:21" ht="24.95" customHeight="1">
      <c r="A74" s="193" t="s">
        <v>82</v>
      </c>
      <c r="B74" s="194" t="s">
        <v>381</v>
      </c>
      <c r="C74" s="195" t="s">
        <v>221</v>
      </c>
      <c r="D74" s="190">
        <v>13184</v>
      </c>
      <c r="E74" s="190">
        <v>296</v>
      </c>
      <c r="F74" s="190">
        <v>1815</v>
      </c>
      <c r="G74" s="190">
        <v>330</v>
      </c>
      <c r="H74" s="190">
        <v>7137</v>
      </c>
      <c r="I74" s="190">
        <v>3606</v>
      </c>
      <c r="J74" s="190">
        <f t="shared" si="6"/>
        <v>9282</v>
      </c>
      <c r="K74" s="329">
        <v>0.09</v>
      </c>
      <c r="L74" s="329">
        <v>0.185</v>
      </c>
      <c r="M74" s="330">
        <v>0.16200000000000001</v>
      </c>
      <c r="N74" s="191">
        <f t="shared" si="7"/>
        <v>26.64</v>
      </c>
      <c r="O74" s="192">
        <f t="shared" si="8"/>
        <v>163.35</v>
      </c>
      <c r="P74" s="192">
        <f t="shared" si="8"/>
        <v>61.05</v>
      </c>
      <c r="Q74" s="192">
        <f t="shared" si="9"/>
        <v>1320.345</v>
      </c>
      <c r="R74" s="192">
        <f t="shared" si="10"/>
        <v>1381.395</v>
      </c>
      <c r="S74" s="192">
        <f t="shared" si="11"/>
        <v>1503.684</v>
      </c>
      <c r="U74" s="350"/>
    </row>
    <row r="75" spans="1:21" ht="24.95" customHeight="1">
      <c r="A75" s="193" t="s">
        <v>83</v>
      </c>
      <c r="B75" s="194" t="s">
        <v>381</v>
      </c>
      <c r="C75" s="195" t="s">
        <v>222</v>
      </c>
      <c r="D75" s="190">
        <v>40112</v>
      </c>
      <c r="E75" s="190">
        <v>1457</v>
      </c>
      <c r="F75" s="190">
        <v>7706</v>
      </c>
      <c r="G75" s="190">
        <v>2255</v>
      </c>
      <c r="H75" s="190">
        <v>22627</v>
      </c>
      <c r="I75" s="190">
        <v>6067</v>
      </c>
      <c r="J75" s="190">
        <f t="shared" si="6"/>
        <v>32588</v>
      </c>
      <c r="K75" s="329">
        <v>0.05</v>
      </c>
      <c r="L75" s="329">
        <v>0.19600000000000001</v>
      </c>
      <c r="M75" s="330">
        <v>0.156</v>
      </c>
      <c r="N75" s="191">
        <f t="shared" si="7"/>
        <v>72.850000000000009</v>
      </c>
      <c r="O75" s="192">
        <f t="shared" si="8"/>
        <v>385.3</v>
      </c>
      <c r="P75" s="192">
        <f t="shared" si="8"/>
        <v>441.98</v>
      </c>
      <c r="Q75" s="192">
        <f t="shared" si="9"/>
        <v>4434.8919999999998</v>
      </c>
      <c r="R75" s="192">
        <f t="shared" si="10"/>
        <v>4876.8719999999994</v>
      </c>
      <c r="S75" s="192">
        <f t="shared" si="11"/>
        <v>5083.7280000000001</v>
      </c>
      <c r="U75" s="350"/>
    </row>
    <row r="76" spans="1:21" ht="24.95" customHeight="1">
      <c r="A76" s="193" t="s">
        <v>68</v>
      </c>
      <c r="B76" s="194" t="s">
        <v>381</v>
      </c>
      <c r="C76" s="195" t="s">
        <v>221</v>
      </c>
      <c r="D76" s="190">
        <v>58815</v>
      </c>
      <c r="E76" s="190">
        <v>1859</v>
      </c>
      <c r="F76" s="190">
        <v>10415</v>
      </c>
      <c r="G76" s="190">
        <v>2231</v>
      </c>
      <c r="H76" s="190">
        <v>33966</v>
      </c>
      <c r="I76" s="190">
        <v>10344</v>
      </c>
      <c r="J76" s="190">
        <f t="shared" si="6"/>
        <v>46612</v>
      </c>
      <c r="K76" s="329">
        <v>6.6000000000000003E-2</v>
      </c>
      <c r="L76" s="329">
        <v>0.2</v>
      </c>
      <c r="M76" s="330">
        <v>0.16300000000000001</v>
      </c>
      <c r="N76" s="191">
        <f t="shared" si="7"/>
        <v>122.694</v>
      </c>
      <c r="O76" s="192">
        <f t="shared" si="8"/>
        <v>687.39</v>
      </c>
      <c r="P76" s="192">
        <f t="shared" si="8"/>
        <v>446.20000000000005</v>
      </c>
      <c r="Q76" s="192">
        <f t="shared" si="9"/>
        <v>6793.2000000000007</v>
      </c>
      <c r="R76" s="192">
        <f t="shared" si="10"/>
        <v>7239.4000000000005</v>
      </c>
      <c r="S76" s="192">
        <f t="shared" si="11"/>
        <v>7597.7560000000003</v>
      </c>
      <c r="U76" s="350"/>
    </row>
    <row r="77" spans="1:21" ht="24.95" customHeight="1">
      <c r="A77" s="193" t="s">
        <v>84</v>
      </c>
      <c r="B77" s="194" t="s">
        <v>381</v>
      </c>
      <c r="C77" s="195" t="s">
        <v>222</v>
      </c>
      <c r="D77" s="190">
        <v>13539</v>
      </c>
      <c r="E77" s="190">
        <v>400</v>
      </c>
      <c r="F77" s="190">
        <v>2198</v>
      </c>
      <c r="G77" s="190">
        <v>379</v>
      </c>
      <c r="H77" s="190">
        <v>7030</v>
      </c>
      <c r="I77" s="190">
        <v>3532</v>
      </c>
      <c r="J77" s="190">
        <f t="shared" si="6"/>
        <v>9607</v>
      </c>
      <c r="K77" s="329">
        <v>6.0999999999999999E-2</v>
      </c>
      <c r="L77" s="329">
        <v>0.18899999999999997</v>
      </c>
      <c r="M77" s="330">
        <v>0.154</v>
      </c>
      <c r="N77" s="191">
        <f t="shared" si="7"/>
        <v>24.4</v>
      </c>
      <c r="O77" s="192">
        <f t="shared" si="8"/>
        <v>134.078</v>
      </c>
      <c r="P77" s="192">
        <f t="shared" si="8"/>
        <v>71.630999999999986</v>
      </c>
      <c r="Q77" s="192">
        <f t="shared" si="9"/>
        <v>1328.6699999999998</v>
      </c>
      <c r="R77" s="192">
        <f t="shared" si="10"/>
        <v>1400.3009999999999</v>
      </c>
      <c r="S77" s="192">
        <f t="shared" si="11"/>
        <v>1479.4780000000001</v>
      </c>
      <c r="U77" s="350"/>
    </row>
    <row r="78" spans="1:21" ht="24.95" customHeight="1">
      <c r="A78" s="193" t="s">
        <v>54</v>
      </c>
      <c r="B78" s="194" t="s">
        <v>14</v>
      </c>
      <c r="C78" s="195" t="s">
        <v>221</v>
      </c>
      <c r="D78" s="190">
        <v>39383</v>
      </c>
      <c r="E78" s="190">
        <v>1313</v>
      </c>
      <c r="F78" s="190">
        <v>7066</v>
      </c>
      <c r="G78" s="190">
        <v>1247</v>
      </c>
      <c r="H78" s="190">
        <v>22607</v>
      </c>
      <c r="I78" s="190">
        <v>7150</v>
      </c>
      <c r="J78" s="190">
        <f t="shared" si="6"/>
        <v>30920</v>
      </c>
      <c r="K78" s="329">
        <v>5.5999999999999994E-2</v>
      </c>
      <c r="L78" s="329">
        <v>0.17899999999999999</v>
      </c>
      <c r="M78" s="330">
        <v>0.14599999999999999</v>
      </c>
      <c r="N78" s="191">
        <f t="shared" si="7"/>
        <v>73.527999999999992</v>
      </c>
      <c r="O78" s="192">
        <f t="shared" si="8"/>
        <v>395.69599999999997</v>
      </c>
      <c r="P78" s="192">
        <f t="shared" si="8"/>
        <v>223.21299999999999</v>
      </c>
      <c r="Q78" s="192">
        <f t="shared" si="9"/>
        <v>4046.6529999999998</v>
      </c>
      <c r="R78" s="192">
        <f t="shared" si="10"/>
        <v>4269.866</v>
      </c>
      <c r="S78" s="192">
        <f t="shared" si="11"/>
        <v>4514.32</v>
      </c>
      <c r="U78" s="350"/>
    </row>
    <row r="79" spans="1:21" ht="24.95" customHeight="1">
      <c r="A79" s="193" t="s">
        <v>85</v>
      </c>
      <c r="B79" s="194" t="s">
        <v>381</v>
      </c>
      <c r="C79" s="195" t="s">
        <v>221</v>
      </c>
      <c r="D79" s="190">
        <v>176269</v>
      </c>
      <c r="E79" s="190">
        <v>6070</v>
      </c>
      <c r="F79" s="190">
        <v>32557</v>
      </c>
      <c r="G79" s="190">
        <v>14834</v>
      </c>
      <c r="H79" s="190">
        <v>101432</v>
      </c>
      <c r="I79" s="190">
        <v>21376</v>
      </c>
      <c r="J79" s="190">
        <f t="shared" si="6"/>
        <v>148823</v>
      </c>
      <c r="K79" s="329">
        <v>0.05</v>
      </c>
      <c r="L79" s="329">
        <v>0.17699999999999999</v>
      </c>
      <c r="M79" s="330">
        <v>0.14400000000000002</v>
      </c>
      <c r="N79" s="191">
        <f t="shared" si="7"/>
        <v>303.5</v>
      </c>
      <c r="O79" s="192">
        <f t="shared" si="8"/>
        <v>1627.8500000000001</v>
      </c>
      <c r="P79" s="192">
        <f t="shared" si="8"/>
        <v>2625.6179999999999</v>
      </c>
      <c r="Q79" s="192">
        <f t="shared" si="9"/>
        <v>17953.464</v>
      </c>
      <c r="R79" s="192">
        <f t="shared" si="10"/>
        <v>20579.081999999999</v>
      </c>
      <c r="S79" s="192">
        <f t="shared" si="11"/>
        <v>21430.512000000002</v>
      </c>
      <c r="U79" s="350"/>
    </row>
    <row r="80" spans="1:21" ht="24.95" customHeight="1">
      <c r="A80" s="193" t="s">
        <v>134</v>
      </c>
      <c r="B80" s="194" t="s">
        <v>428</v>
      </c>
      <c r="C80" s="195" t="s">
        <v>222</v>
      </c>
      <c r="D80" s="190">
        <v>20955</v>
      </c>
      <c r="E80" s="190">
        <v>481</v>
      </c>
      <c r="F80" s="190">
        <v>3035</v>
      </c>
      <c r="G80" s="190">
        <v>599</v>
      </c>
      <c r="H80" s="190">
        <v>10950</v>
      </c>
      <c r="I80" s="190">
        <v>5890</v>
      </c>
      <c r="J80" s="190">
        <f t="shared" si="6"/>
        <v>14584</v>
      </c>
      <c r="K80" s="329">
        <v>8.8000000000000009E-2</v>
      </c>
      <c r="L80" s="329">
        <v>0.20600000000000002</v>
      </c>
      <c r="M80" s="330">
        <v>0.17699999999999999</v>
      </c>
      <c r="N80" s="191">
        <f t="shared" si="7"/>
        <v>42.328000000000003</v>
      </c>
      <c r="O80" s="192">
        <f t="shared" si="8"/>
        <v>267.08000000000004</v>
      </c>
      <c r="P80" s="192">
        <f t="shared" si="8"/>
        <v>123.39400000000001</v>
      </c>
      <c r="Q80" s="192">
        <f t="shared" si="9"/>
        <v>2255.7000000000003</v>
      </c>
      <c r="R80" s="192">
        <f t="shared" si="10"/>
        <v>2379.0940000000001</v>
      </c>
      <c r="S80" s="192">
        <f t="shared" si="11"/>
        <v>2581.3679999999999</v>
      </c>
      <c r="U80" s="350"/>
    </row>
    <row r="81" spans="1:21" ht="24.95" customHeight="1">
      <c r="A81" s="193" t="s">
        <v>116</v>
      </c>
      <c r="B81" s="194" t="s">
        <v>17</v>
      </c>
      <c r="C81" s="195" t="s">
        <v>221</v>
      </c>
      <c r="D81" s="190">
        <v>144254</v>
      </c>
      <c r="E81" s="190">
        <v>4746</v>
      </c>
      <c r="F81" s="190">
        <v>27809</v>
      </c>
      <c r="G81" s="190">
        <v>5902</v>
      </c>
      <c r="H81" s="190">
        <v>81739</v>
      </c>
      <c r="I81" s="190">
        <v>24058</v>
      </c>
      <c r="J81" s="190">
        <f t="shared" si="6"/>
        <v>115450</v>
      </c>
      <c r="K81" s="329">
        <v>6.9000000000000006E-2</v>
      </c>
      <c r="L81" s="329">
        <v>0.21</v>
      </c>
      <c r="M81" s="330">
        <v>0.17</v>
      </c>
      <c r="N81" s="191">
        <f t="shared" si="7"/>
        <v>327.47400000000005</v>
      </c>
      <c r="O81" s="192">
        <f t="shared" si="8"/>
        <v>1918.8210000000001</v>
      </c>
      <c r="P81" s="192">
        <f t="shared" si="8"/>
        <v>1239.4199999999998</v>
      </c>
      <c r="Q81" s="192">
        <f t="shared" si="9"/>
        <v>17165.189999999999</v>
      </c>
      <c r="R81" s="192">
        <f t="shared" si="10"/>
        <v>18404.609999999997</v>
      </c>
      <c r="S81" s="192">
        <f t="shared" si="11"/>
        <v>19626.5</v>
      </c>
      <c r="U81" s="350"/>
    </row>
    <row r="82" spans="1:21" ht="24.95" customHeight="1">
      <c r="A82" s="193" t="s">
        <v>117</v>
      </c>
      <c r="B82" s="194" t="s">
        <v>17</v>
      </c>
      <c r="C82" s="195" t="s">
        <v>222</v>
      </c>
      <c r="D82" s="190">
        <v>45484</v>
      </c>
      <c r="E82" s="190">
        <v>1519</v>
      </c>
      <c r="F82" s="190">
        <v>8922</v>
      </c>
      <c r="G82" s="190">
        <v>2200</v>
      </c>
      <c r="H82" s="190">
        <v>25186</v>
      </c>
      <c r="I82" s="190">
        <v>7657</v>
      </c>
      <c r="J82" s="190">
        <f t="shared" si="6"/>
        <v>36308</v>
      </c>
      <c r="K82" s="329">
        <v>5.2999999999999999E-2</v>
      </c>
      <c r="L82" s="329">
        <v>0.22699999999999998</v>
      </c>
      <c r="M82" s="330">
        <v>0.17699999999999999</v>
      </c>
      <c r="N82" s="191">
        <f t="shared" si="7"/>
        <v>80.506999999999991</v>
      </c>
      <c r="O82" s="192">
        <f t="shared" si="8"/>
        <v>472.86599999999999</v>
      </c>
      <c r="P82" s="192">
        <f t="shared" si="8"/>
        <v>499.4</v>
      </c>
      <c r="Q82" s="192">
        <f t="shared" si="9"/>
        <v>5717.2219999999998</v>
      </c>
      <c r="R82" s="192">
        <f t="shared" si="10"/>
        <v>6216.6219999999994</v>
      </c>
      <c r="S82" s="192">
        <f t="shared" si="11"/>
        <v>6426.5159999999996</v>
      </c>
      <c r="U82" s="350"/>
    </row>
    <row r="83" spans="1:21" ht="24.95" customHeight="1">
      <c r="A83" s="193" t="s">
        <v>95</v>
      </c>
      <c r="B83" s="194" t="s">
        <v>15</v>
      </c>
      <c r="C83" s="195" t="s">
        <v>222</v>
      </c>
      <c r="D83" s="190">
        <v>132948</v>
      </c>
      <c r="E83" s="190">
        <v>5208</v>
      </c>
      <c r="F83" s="190">
        <v>27729</v>
      </c>
      <c r="G83" s="190">
        <v>7716</v>
      </c>
      <c r="H83" s="190">
        <v>73656</v>
      </c>
      <c r="I83" s="190">
        <v>18639</v>
      </c>
      <c r="J83" s="190">
        <f t="shared" si="6"/>
        <v>109101</v>
      </c>
      <c r="K83" s="329">
        <v>6.5000000000000002E-2</v>
      </c>
      <c r="L83" s="329">
        <v>0.28300000000000003</v>
      </c>
      <c r="M83" s="330">
        <v>0.217</v>
      </c>
      <c r="N83" s="191">
        <f t="shared" si="7"/>
        <v>338.52000000000004</v>
      </c>
      <c r="O83" s="192">
        <f t="shared" si="8"/>
        <v>1802.385</v>
      </c>
      <c r="P83" s="192">
        <f t="shared" si="8"/>
        <v>2183.6280000000002</v>
      </c>
      <c r="Q83" s="192">
        <f t="shared" si="9"/>
        <v>20844.648000000001</v>
      </c>
      <c r="R83" s="192">
        <f t="shared" si="10"/>
        <v>23028.276000000002</v>
      </c>
      <c r="S83" s="192">
        <f t="shared" si="11"/>
        <v>23674.917000000001</v>
      </c>
      <c r="U83" s="350"/>
    </row>
    <row r="84" spans="1:21" ht="24.95" customHeight="1">
      <c r="A84" s="193" t="s">
        <v>62</v>
      </c>
      <c r="B84" s="194" t="s">
        <v>14</v>
      </c>
      <c r="C84" s="195" t="s">
        <v>221</v>
      </c>
      <c r="D84" s="190">
        <v>92543</v>
      </c>
      <c r="E84" s="190">
        <v>2895</v>
      </c>
      <c r="F84" s="190">
        <v>16221</v>
      </c>
      <c r="G84" s="190">
        <v>3120</v>
      </c>
      <c r="H84" s="190">
        <v>52852</v>
      </c>
      <c r="I84" s="190">
        <v>17455</v>
      </c>
      <c r="J84" s="190">
        <f t="shared" si="6"/>
        <v>72193</v>
      </c>
      <c r="K84" s="329">
        <v>5.4000000000000006E-2</v>
      </c>
      <c r="L84" s="329">
        <v>0.184</v>
      </c>
      <c r="M84" s="330">
        <v>0.15</v>
      </c>
      <c r="N84" s="191">
        <f t="shared" si="7"/>
        <v>156.33000000000001</v>
      </c>
      <c r="O84" s="192">
        <f t="shared" si="8"/>
        <v>875.93400000000008</v>
      </c>
      <c r="P84" s="192">
        <f t="shared" si="8"/>
        <v>574.08000000000004</v>
      </c>
      <c r="Q84" s="192">
        <f t="shared" si="9"/>
        <v>9724.768</v>
      </c>
      <c r="R84" s="192">
        <f t="shared" si="10"/>
        <v>10298.848</v>
      </c>
      <c r="S84" s="192">
        <f t="shared" si="11"/>
        <v>10828.949999999999</v>
      </c>
      <c r="U84" s="350"/>
    </row>
    <row r="85" spans="1:21" ht="24.95" customHeight="1">
      <c r="A85" s="193" t="s">
        <v>55</v>
      </c>
      <c r="B85" s="194" t="s">
        <v>14</v>
      </c>
      <c r="C85" s="195" t="s">
        <v>221</v>
      </c>
      <c r="D85" s="190">
        <v>138710</v>
      </c>
      <c r="E85" s="190">
        <v>4495</v>
      </c>
      <c r="F85" s="190">
        <v>26517</v>
      </c>
      <c r="G85" s="190">
        <v>5653</v>
      </c>
      <c r="H85" s="190">
        <v>79228</v>
      </c>
      <c r="I85" s="190">
        <v>22817</v>
      </c>
      <c r="J85" s="190">
        <f t="shared" si="6"/>
        <v>111398</v>
      </c>
      <c r="K85" s="329">
        <v>5.9000000000000004E-2</v>
      </c>
      <c r="L85" s="329">
        <v>0.21199999999999999</v>
      </c>
      <c r="M85" s="330">
        <v>0.16899999999999998</v>
      </c>
      <c r="N85" s="191">
        <f t="shared" si="7"/>
        <v>265.20500000000004</v>
      </c>
      <c r="O85" s="192">
        <f t="shared" si="8"/>
        <v>1564.5030000000002</v>
      </c>
      <c r="P85" s="192">
        <f t="shared" si="8"/>
        <v>1198.4359999999999</v>
      </c>
      <c r="Q85" s="192">
        <f t="shared" si="9"/>
        <v>16796.335999999999</v>
      </c>
      <c r="R85" s="192">
        <f t="shared" si="10"/>
        <v>17994.772000000001</v>
      </c>
      <c r="S85" s="192">
        <f t="shared" si="11"/>
        <v>18826.261999999999</v>
      </c>
      <c r="U85" s="350"/>
    </row>
    <row r="86" spans="1:21" ht="24.95" customHeight="1">
      <c r="A86" s="193" t="s">
        <v>135</v>
      </c>
      <c r="B86" s="194" t="s">
        <v>428</v>
      </c>
      <c r="C86" s="195" t="s">
        <v>222</v>
      </c>
      <c r="D86" s="190">
        <v>67359</v>
      </c>
      <c r="E86" s="190">
        <v>2125</v>
      </c>
      <c r="F86" s="190">
        <v>11996</v>
      </c>
      <c r="G86" s="190">
        <v>2360</v>
      </c>
      <c r="H86" s="190">
        <v>37358</v>
      </c>
      <c r="I86" s="190">
        <v>13520</v>
      </c>
      <c r="J86" s="190">
        <f t="shared" si="6"/>
        <v>51714</v>
      </c>
      <c r="K86" s="329">
        <v>5.4000000000000006E-2</v>
      </c>
      <c r="L86" s="329">
        <v>0.192</v>
      </c>
      <c r="M86" s="330">
        <v>0.155</v>
      </c>
      <c r="N86" s="191">
        <f t="shared" si="7"/>
        <v>114.75000000000001</v>
      </c>
      <c r="O86" s="192">
        <f t="shared" si="8"/>
        <v>647.78400000000011</v>
      </c>
      <c r="P86" s="192">
        <f t="shared" si="8"/>
        <v>453.12</v>
      </c>
      <c r="Q86" s="192">
        <f t="shared" si="9"/>
        <v>7172.7359999999999</v>
      </c>
      <c r="R86" s="192">
        <f t="shared" si="10"/>
        <v>7625.8559999999998</v>
      </c>
      <c r="S86" s="192">
        <f t="shared" si="11"/>
        <v>8015.67</v>
      </c>
      <c r="U86" s="350"/>
    </row>
    <row r="87" spans="1:21" ht="24.95" customHeight="1">
      <c r="A87" s="193" t="s">
        <v>96</v>
      </c>
      <c r="B87" s="194" t="s">
        <v>15</v>
      </c>
      <c r="C87" s="195" t="s">
        <v>222</v>
      </c>
      <c r="D87" s="190">
        <v>64633</v>
      </c>
      <c r="E87" s="190">
        <v>2448</v>
      </c>
      <c r="F87" s="190">
        <v>13454</v>
      </c>
      <c r="G87" s="190">
        <v>2642</v>
      </c>
      <c r="H87" s="190">
        <v>35379</v>
      </c>
      <c r="I87" s="190">
        <v>10710</v>
      </c>
      <c r="J87" s="190">
        <f t="shared" si="6"/>
        <v>51475</v>
      </c>
      <c r="K87" s="329">
        <v>7.0000000000000007E-2</v>
      </c>
      <c r="L87" s="329">
        <v>0.25900000000000001</v>
      </c>
      <c r="M87" s="330">
        <v>0.20300000000000001</v>
      </c>
      <c r="N87" s="191">
        <f t="shared" si="7"/>
        <v>171.36</v>
      </c>
      <c r="O87" s="192">
        <f t="shared" si="8"/>
        <v>941.78000000000009</v>
      </c>
      <c r="P87" s="192">
        <f t="shared" si="8"/>
        <v>684.27800000000002</v>
      </c>
      <c r="Q87" s="192">
        <f t="shared" si="9"/>
        <v>9163.1610000000001</v>
      </c>
      <c r="R87" s="192">
        <f t="shared" si="10"/>
        <v>9847.4390000000003</v>
      </c>
      <c r="S87" s="192">
        <f t="shared" si="11"/>
        <v>10449.425000000001</v>
      </c>
      <c r="U87" s="350"/>
    </row>
    <row r="88" spans="1:21" ht="24.95" customHeight="1">
      <c r="A88" s="193" t="s">
        <v>97</v>
      </c>
      <c r="B88" s="194" t="s">
        <v>15</v>
      </c>
      <c r="C88" s="195" t="s">
        <v>222</v>
      </c>
      <c r="D88" s="190">
        <v>35536</v>
      </c>
      <c r="E88" s="190">
        <v>1309</v>
      </c>
      <c r="F88" s="190">
        <v>7056</v>
      </c>
      <c r="G88" s="190">
        <v>1396</v>
      </c>
      <c r="H88" s="190">
        <v>19777</v>
      </c>
      <c r="I88" s="190">
        <v>5998</v>
      </c>
      <c r="J88" s="190">
        <f t="shared" si="6"/>
        <v>28229</v>
      </c>
      <c r="K88" s="329">
        <v>0.05</v>
      </c>
      <c r="L88" s="329">
        <v>0.21199999999999999</v>
      </c>
      <c r="M88" s="330">
        <v>0.16300000000000001</v>
      </c>
      <c r="N88" s="191">
        <f t="shared" si="7"/>
        <v>65.45</v>
      </c>
      <c r="O88" s="192">
        <f t="shared" si="8"/>
        <v>352.8</v>
      </c>
      <c r="P88" s="192">
        <f t="shared" si="8"/>
        <v>295.952</v>
      </c>
      <c r="Q88" s="192">
        <f t="shared" si="9"/>
        <v>4192.7240000000002</v>
      </c>
      <c r="R88" s="192">
        <f t="shared" si="10"/>
        <v>4488.6760000000004</v>
      </c>
      <c r="S88" s="192">
        <f t="shared" si="11"/>
        <v>4601.3270000000002</v>
      </c>
      <c r="U88" s="350"/>
    </row>
    <row r="89" spans="1:21" ht="24.95" customHeight="1">
      <c r="A89" s="193" t="s">
        <v>56</v>
      </c>
      <c r="B89" s="194" t="s">
        <v>14</v>
      </c>
      <c r="C89" s="195" t="s">
        <v>222</v>
      </c>
      <c r="D89" s="190">
        <v>61506</v>
      </c>
      <c r="E89" s="190">
        <v>1986</v>
      </c>
      <c r="F89" s="190">
        <v>11069</v>
      </c>
      <c r="G89" s="190">
        <v>2303</v>
      </c>
      <c r="H89" s="190">
        <v>35016</v>
      </c>
      <c r="I89" s="190">
        <v>11132</v>
      </c>
      <c r="J89" s="190">
        <f t="shared" si="6"/>
        <v>48388</v>
      </c>
      <c r="K89" s="329">
        <v>5.2999999999999999E-2</v>
      </c>
      <c r="L89" s="329">
        <v>0.183</v>
      </c>
      <c r="M89" s="330">
        <v>0.14699999999999999</v>
      </c>
      <c r="N89" s="191">
        <f t="shared" si="7"/>
        <v>105.258</v>
      </c>
      <c r="O89" s="192">
        <f t="shared" si="8"/>
        <v>586.65700000000004</v>
      </c>
      <c r="P89" s="192">
        <f t="shared" si="8"/>
        <v>421.44900000000001</v>
      </c>
      <c r="Q89" s="192">
        <f t="shared" si="9"/>
        <v>6407.9279999999999</v>
      </c>
      <c r="R89" s="192">
        <f t="shared" si="10"/>
        <v>6829.3769999999995</v>
      </c>
      <c r="S89" s="192">
        <f t="shared" si="11"/>
        <v>7113.0359999999991</v>
      </c>
      <c r="U89" s="350"/>
    </row>
    <row r="90" spans="1:21" ht="24.95" customHeight="1">
      <c r="A90" s="193" t="s">
        <v>63</v>
      </c>
      <c r="B90" s="194" t="s">
        <v>14</v>
      </c>
      <c r="C90" s="195" t="s">
        <v>221</v>
      </c>
      <c r="D90" s="190">
        <v>46786</v>
      </c>
      <c r="E90" s="190">
        <v>1275</v>
      </c>
      <c r="F90" s="190">
        <v>7657</v>
      </c>
      <c r="G90" s="190">
        <v>1542</v>
      </c>
      <c r="H90" s="190">
        <v>27381</v>
      </c>
      <c r="I90" s="190">
        <v>8931</v>
      </c>
      <c r="J90" s="190">
        <f t="shared" si="6"/>
        <v>36580</v>
      </c>
      <c r="K90" s="329">
        <v>5.0999999999999997E-2</v>
      </c>
      <c r="L90" s="329">
        <v>0.17699999999999999</v>
      </c>
      <c r="M90" s="330">
        <v>0.14499999999999999</v>
      </c>
      <c r="N90" s="191">
        <f t="shared" si="7"/>
        <v>65.024999999999991</v>
      </c>
      <c r="O90" s="192">
        <f t="shared" si="8"/>
        <v>390.50699999999995</v>
      </c>
      <c r="P90" s="192">
        <f t="shared" si="8"/>
        <v>272.93399999999997</v>
      </c>
      <c r="Q90" s="192">
        <f t="shared" si="9"/>
        <v>4846.4369999999999</v>
      </c>
      <c r="R90" s="192">
        <f t="shared" si="10"/>
        <v>5119.3710000000001</v>
      </c>
      <c r="S90" s="192">
        <f t="shared" si="11"/>
        <v>5304.0999999999995</v>
      </c>
      <c r="U90" s="350"/>
    </row>
    <row r="91" spans="1:21" ht="24.95" customHeight="1">
      <c r="A91" s="193" t="s">
        <v>107</v>
      </c>
      <c r="B91" s="194" t="s">
        <v>16</v>
      </c>
      <c r="C91" s="195" t="s">
        <v>222</v>
      </c>
      <c r="D91" s="190">
        <v>73834</v>
      </c>
      <c r="E91" s="190">
        <v>2245</v>
      </c>
      <c r="F91" s="190">
        <v>13523</v>
      </c>
      <c r="G91" s="190">
        <v>3080</v>
      </c>
      <c r="H91" s="190">
        <v>40987</v>
      </c>
      <c r="I91" s="190">
        <v>13999</v>
      </c>
      <c r="J91" s="190">
        <f t="shared" si="6"/>
        <v>57590</v>
      </c>
      <c r="K91" s="329">
        <v>7.2000000000000008E-2</v>
      </c>
      <c r="L91" s="329">
        <v>0.22899999999999998</v>
      </c>
      <c r="M91" s="330">
        <v>0.18600000000000003</v>
      </c>
      <c r="N91" s="191">
        <f t="shared" si="7"/>
        <v>161.64000000000001</v>
      </c>
      <c r="O91" s="192">
        <f t="shared" si="8"/>
        <v>973.65600000000006</v>
      </c>
      <c r="P91" s="192">
        <f t="shared" si="8"/>
        <v>705.31999999999994</v>
      </c>
      <c r="Q91" s="192">
        <f t="shared" si="9"/>
        <v>9386.0229999999992</v>
      </c>
      <c r="R91" s="192">
        <f t="shared" si="10"/>
        <v>10091.342999999999</v>
      </c>
      <c r="S91" s="192">
        <f t="shared" si="11"/>
        <v>10711.740000000002</v>
      </c>
      <c r="U91" s="350"/>
    </row>
    <row r="92" spans="1:21" ht="24.95" customHeight="1">
      <c r="A92" s="193" t="s">
        <v>136</v>
      </c>
      <c r="B92" s="194" t="s">
        <v>428</v>
      </c>
      <c r="C92" s="195" t="s">
        <v>222</v>
      </c>
      <c r="D92" s="190">
        <v>15142</v>
      </c>
      <c r="E92" s="190">
        <v>638</v>
      </c>
      <c r="F92" s="190">
        <v>2906</v>
      </c>
      <c r="G92" s="190">
        <v>515</v>
      </c>
      <c r="H92" s="190">
        <v>8254</v>
      </c>
      <c r="I92" s="190">
        <v>2829</v>
      </c>
      <c r="J92" s="190">
        <f t="shared" si="6"/>
        <v>11675</v>
      </c>
      <c r="K92" s="329">
        <v>8.6999999999999994E-2</v>
      </c>
      <c r="L92" s="329">
        <v>0.253</v>
      </c>
      <c r="M92" s="330">
        <v>0.20699999999999999</v>
      </c>
      <c r="N92" s="191">
        <f t="shared" si="7"/>
        <v>55.505999999999993</v>
      </c>
      <c r="O92" s="192">
        <f t="shared" si="8"/>
        <v>252.82199999999997</v>
      </c>
      <c r="P92" s="192">
        <f t="shared" si="8"/>
        <v>130.29499999999999</v>
      </c>
      <c r="Q92" s="192">
        <f t="shared" si="9"/>
        <v>2088.2620000000002</v>
      </c>
      <c r="R92" s="192">
        <f t="shared" si="10"/>
        <v>2218.5570000000002</v>
      </c>
      <c r="S92" s="192">
        <f t="shared" si="11"/>
        <v>2416.7249999999999</v>
      </c>
      <c r="U92" s="350"/>
    </row>
    <row r="93" spans="1:21" ht="24.95" customHeight="1">
      <c r="A93" s="193" t="s">
        <v>137</v>
      </c>
      <c r="B93" s="194" t="s">
        <v>428</v>
      </c>
      <c r="C93" s="195" t="s">
        <v>222</v>
      </c>
      <c r="D93" s="190">
        <v>34047</v>
      </c>
      <c r="E93" s="190">
        <v>907</v>
      </c>
      <c r="F93" s="190">
        <v>4769</v>
      </c>
      <c r="G93" s="190">
        <v>1348</v>
      </c>
      <c r="H93" s="190">
        <v>16834</v>
      </c>
      <c r="I93" s="190">
        <v>10189</v>
      </c>
      <c r="J93" s="190">
        <f t="shared" si="6"/>
        <v>22951</v>
      </c>
      <c r="K93" s="329">
        <v>6.6000000000000003E-2</v>
      </c>
      <c r="L93" s="329">
        <v>0.19399999999999998</v>
      </c>
      <c r="M93" s="330">
        <v>0.16399999999999998</v>
      </c>
      <c r="N93" s="191">
        <f t="shared" si="7"/>
        <v>59.862000000000002</v>
      </c>
      <c r="O93" s="192">
        <f t="shared" si="8"/>
        <v>314.75400000000002</v>
      </c>
      <c r="P93" s="192">
        <f t="shared" si="8"/>
        <v>261.51199999999994</v>
      </c>
      <c r="Q93" s="192">
        <f t="shared" si="9"/>
        <v>3265.7959999999998</v>
      </c>
      <c r="R93" s="192">
        <f t="shared" si="10"/>
        <v>3527.308</v>
      </c>
      <c r="S93" s="192">
        <f t="shared" si="11"/>
        <v>3763.9639999999995</v>
      </c>
      <c r="U93" s="350"/>
    </row>
    <row r="94" spans="1:21" ht="24.95" customHeight="1">
      <c r="A94" s="193" t="s">
        <v>86</v>
      </c>
      <c r="B94" s="194" t="s">
        <v>381</v>
      </c>
      <c r="C94" s="195" t="s">
        <v>222</v>
      </c>
      <c r="D94" s="190">
        <v>4141</v>
      </c>
      <c r="E94" s="190">
        <v>123</v>
      </c>
      <c r="F94" s="190">
        <v>642</v>
      </c>
      <c r="G94" s="190">
        <v>106</v>
      </c>
      <c r="H94" s="190">
        <v>2474</v>
      </c>
      <c r="I94" s="190">
        <v>796</v>
      </c>
      <c r="J94" s="190">
        <f t="shared" si="6"/>
        <v>3222</v>
      </c>
      <c r="K94" s="329">
        <v>9.9000000000000005E-2</v>
      </c>
      <c r="L94" s="329">
        <v>0.27100000000000002</v>
      </c>
      <c r="M94" s="330">
        <v>0.22600000000000001</v>
      </c>
      <c r="N94" s="191">
        <f t="shared" si="7"/>
        <v>12.177000000000001</v>
      </c>
      <c r="O94" s="192">
        <f t="shared" si="8"/>
        <v>63.558</v>
      </c>
      <c r="P94" s="192">
        <f t="shared" si="8"/>
        <v>28.726000000000003</v>
      </c>
      <c r="Q94" s="192">
        <f t="shared" si="9"/>
        <v>670.45400000000006</v>
      </c>
      <c r="R94" s="192">
        <f t="shared" si="10"/>
        <v>699.18000000000006</v>
      </c>
      <c r="S94" s="192">
        <f t="shared" si="11"/>
        <v>728.17200000000003</v>
      </c>
      <c r="U94" s="350"/>
    </row>
    <row r="95" spans="1:21" ht="24.95" customHeight="1">
      <c r="A95" s="193" t="s">
        <v>57</v>
      </c>
      <c r="B95" s="194" t="s">
        <v>14</v>
      </c>
      <c r="C95" s="195" t="s">
        <v>221</v>
      </c>
      <c r="D95" s="190">
        <v>225160</v>
      </c>
      <c r="E95" s="190">
        <v>7850</v>
      </c>
      <c r="F95" s="190">
        <v>51502</v>
      </c>
      <c r="G95" s="190">
        <v>10059</v>
      </c>
      <c r="H95" s="190">
        <v>128720</v>
      </c>
      <c r="I95" s="190">
        <v>27029</v>
      </c>
      <c r="J95" s="190">
        <f t="shared" si="6"/>
        <v>190281</v>
      </c>
      <c r="K95" s="329">
        <v>5.5E-2</v>
      </c>
      <c r="L95" s="329">
        <v>0.17100000000000001</v>
      </c>
      <c r="M95" s="330">
        <v>0.13200000000000001</v>
      </c>
      <c r="N95" s="191">
        <f t="shared" si="7"/>
        <v>431.75</v>
      </c>
      <c r="O95" s="192">
        <f t="shared" si="8"/>
        <v>2832.61</v>
      </c>
      <c r="P95" s="192">
        <f t="shared" si="8"/>
        <v>1720.0890000000002</v>
      </c>
      <c r="Q95" s="192">
        <f t="shared" si="9"/>
        <v>22011.120000000003</v>
      </c>
      <c r="R95" s="192">
        <f t="shared" si="10"/>
        <v>23731.209000000003</v>
      </c>
      <c r="S95" s="192">
        <f t="shared" si="11"/>
        <v>25117.092000000001</v>
      </c>
      <c r="U95" s="350"/>
    </row>
    <row r="96" spans="1:21" ht="24.95" customHeight="1">
      <c r="A96" s="193" t="s">
        <v>58</v>
      </c>
      <c r="B96" s="194" t="s">
        <v>14</v>
      </c>
      <c r="C96" s="195" t="s">
        <v>222</v>
      </c>
      <c r="D96" s="190">
        <v>44978</v>
      </c>
      <c r="E96" s="190">
        <v>1645</v>
      </c>
      <c r="F96" s="190">
        <v>9067</v>
      </c>
      <c r="G96" s="190">
        <v>1740</v>
      </c>
      <c r="H96" s="190">
        <v>24914</v>
      </c>
      <c r="I96" s="190">
        <v>7612</v>
      </c>
      <c r="J96" s="190">
        <f t="shared" si="6"/>
        <v>35721</v>
      </c>
      <c r="K96" s="329">
        <v>0.05</v>
      </c>
      <c r="L96" s="329">
        <v>0.20199999999999999</v>
      </c>
      <c r="M96" s="330">
        <v>0.159</v>
      </c>
      <c r="N96" s="191">
        <f t="shared" si="7"/>
        <v>82.25</v>
      </c>
      <c r="O96" s="192">
        <f t="shared" si="8"/>
        <v>453.35</v>
      </c>
      <c r="P96" s="192">
        <f t="shared" si="8"/>
        <v>351.47999999999996</v>
      </c>
      <c r="Q96" s="192">
        <f t="shared" si="9"/>
        <v>5032.6279999999997</v>
      </c>
      <c r="R96" s="192">
        <f t="shared" si="10"/>
        <v>5384.1079999999993</v>
      </c>
      <c r="S96" s="192">
        <f t="shared" si="11"/>
        <v>5679.6390000000001</v>
      </c>
      <c r="U96" s="350"/>
    </row>
    <row r="97" spans="1:21" ht="24.95" customHeight="1">
      <c r="A97" s="193" t="s">
        <v>44</v>
      </c>
      <c r="B97" s="194" t="s">
        <v>13</v>
      </c>
      <c r="C97" s="195" t="s">
        <v>221</v>
      </c>
      <c r="D97" s="190">
        <v>1025434</v>
      </c>
      <c r="E97" s="190">
        <v>37669</v>
      </c>
      <c r="F97" s="190">
        <v>212675</v>
      </c>
      <c r="G97" s="190">
        <v>41630</v>
      </c>
      <c r="H97" s="190">
        <v>623031</v>
      </c>
      <c r="I97" s="190">
        <v>110429</v>
      </c>
      <c r="J97" s="190">
        <f t="shared" si="6"/>
        <v>877336</v>
      </c>
      <c r="K97" s="329">
        <v>5.2000000000000005E-2</v>
      </c>
      <c r="L97" s="329">
        <v>0.14899999999999999</v>
      </c>
      <c r="M97" s="330">
        <v>0.12</v>
      </c>
      <c r="N97" s="191">
        <f t="shared" si="7"/>
        <v>1958.7880000000002</v>
      </c>
      <c r="O97" s="192">
        <f t="shared" si="8"/>
        <v>11059.1</v>
      </c>
      <c r="P97" s="192">
        <f t="shared" si="8"/>
        <v>6202.87</v>
      </c>
      <c r="Q97" s="192">
        <f t="shared" si="9"/>
        <v>92831.618999999992</v>
      </c>
      <c r="R97" s="192">
        <f t="shared" si="10"/>
        <v>99034.488999999987</v>
      </c>
      <c r="S97" s="192">
        <f t="shared" si="11"/>
        <v>105280.31999999999</v>
      </c>
      <c r="U97" s="350"/>
    </row>
    <row r="98" spans="1:21" ht="24.95" customHeight="1">
      <c r="A98" s="187" t="s">
        <v>59</v>
      </c>
      <c r="B98" s="188" t="s">
        <v>14</v>
      </c>
      <c r="C98" s="189" t="s">
        <v>222</v>
      </c>
      <c r="D98" s="190">
        <v>20514</v>
      </c>
      <c r="E98" s="190">
        <v>575</v>
      </c>
      <c r="F98" s="190">
        <v>3257</v>
      </c>
      <c r="G98" s="190">
        <v>564</v>
      </c>
      <c r="H98" s="190">
        <v>11455</v>
      </c>
      <c r="I98" s="190">
        <v>4663</v>
      </c>
      <c r="J98" s="190">
        <f t="shared" si="6"/>
        <v>15276</v>
      </c>
      <c r="K98" s="329">
        <v>7.0000000000000007E-2</v>
      </c>
      <c r="L98" s="329">
        <v>0.214</v>
      </c>
      <c r="M98" s="330">
        <v>0.17800000000000002</v>
      </c>
      <c r="N98" s="191">
        <f t="shared" si="7"/>
        <v>40.250000000000007</v>
      </c>
      <c r="O98" s="192">
        <f t="shared" si="8"/>
        <v>227.99</v>
      </c>
      <c r="P98" s="192">
        <f t="shared" si="8"/>
        <v>120.696</v>
      </c>
      <c r="Q98" s="192">
        <f t="shared" si="9"/>
        <v>2451.37</v>
      </c>
      <c r="R98" s="192">
        <f t="shared" si="10"/>
        <v>2572.0659999999998</v>
      </c>
      <c r="S98" s="192">
        <f t="shared" si="11"/>
        <v>2719.1280000000002</v>
      </c>
      <c r="U98" s="350"/>
    </row>
    <row r="99" spans="1:21" ht="24.95" customHeight="1">
      <c r="A99" s="187" t="s">
        <v>87</v>
      </c>
      <c r="B99" s="188" t="s">
        <v>381</v>
      </c>
      <c r="C99" s="189" t="s">
        <v>222</v>
      </c>
      <c r="D99" s="190">
        <v>12579</v>
      </c>
      <c r="E99" s="190">
        <v>403</v>
      </c>
      <c r="F99" s="190">
        <v>2328</v>
      </c>
      <c r="G99" s="190">
        <v>355</v>
      </c>
      <c r="H99" s="190">
        <v>6719</v>
      </c>
      <c r="I99" s="190">
        <v>2774</v>
      </c>
      <c r="J99" s="190">
        <f t="shared" si="6"/>
        <v>9402</v>
      </c>
      <c r="K99" s="329">
        <v>5.2000000000000005E-2</v>
      </c>
      <c r="L99" s="329">
        <v>0.185</v>
      </c>
      <c r="M99" s="330">
        <v>0.14899999999999999</v>
      </c>
      <c r="N99" s="191">
        <f t="shared" si="7"/>
        <v>20.956000000000003</v>
      </c>
      <c r="O99" s="192">
        <f t="shared" si="8"/>
        <v>121.05600000000001</v>
      </c>
      <c r="P99" s="192">
        <f t="shared" si="8"/>
        <v>65.674999999999997</v>
      </c>
      <c r="Q99" s="192">
        <f t="shared" si="9"/>
        <v>1243.0149999999999</v>
      </c>
      <c r="R99" s="192">
        <f t="shared" si="10"/>
        <v>1308.6899999999998</v>
      </c>
      <c r="S99" s="192">
        <f t="shared" si="11"/>
        <v>1400.8979999999999</v>
      </c>
      <c r="U99" s="350"/>
    </row>
    <row r="100" spans="1:21" ht="24.95" customHeight="1">
      <c r="A100" s="187" t="s">
        <v>138</v>
      </c>
      <c r="B100" s="188" t="s">
        <v>428</v>
      </c>
      <c r="C100" s="189" t="s">
        <v>222</v>
      </c>
      <c r="D100" s="190">
        <v>53706</v>
      </c>
      <c r="E100" s="190">
        <v>1047</v>
      </c>
      <c r="F100" s="190">
        <v>5886</v>
      </c>
      <c r="G100" s="190">
        <v>8516</v>
      </c>
      <c r="H100" s="190">
        <v>29913</v>
      </c>
      <c r="I100" s="190">
        <v>8344</v>
      </c>
      <c r="J100" s="190">
        <f t="shared" si="6"/>
        <v>44315</v>
      </c>
      <c r="K100" s="329">
        <v>6.0999999999999999E-2</v>
      </c>
      <c r="L100" s="329">
        <v>0.16699999999999998</v>
      </c>
      <c r="M100" s="330">
        <v>0.14800000000000002</v>
      </c>
      <c r="N100" s="191">
        <f t="shared" si="7"/>
        <v>63.866999999999997</v>
      </c>
      <c r="O100" s="192">
        <f t="shared" si="8"/>
        <v>359.04599999999999</v>
      </c>
      <c r="P100" s="192">
        <f t="shared" si="8"/>
        <v>1422.1719999999998</v>
      </c>
      <c r="Q100" s="192">
        <f t="shared" si="9"/>
        <v>4995.4709999999995</v>
      </c>
      <c r="R100" s="192">
        <f t="shared" si="10"/>
        <v>6417.6429999999991</v>
      </c>
      <c r="S100" s="192">
        <f t="shared" si="11"/>
        <v>6558.6200000000008</v>
      </c>
      <c r="U100" s="350"/>
    </row>
    <row r="101" spans="1:21" ht="24.95" customHeight="1">
      <c r="A101" s="187" t="s">
        <v>98</v>
      </c>
      <c r="B101" s="188" t="s">
        <v>15</v>
      </c>
      <c r="C101" s="189" t="s">
        <v>221</v>
      </c>
      <c r="D101" s="190">
        <v>126174</v>
      </c>
      <c r="E101" s="190">
        <v>4964</v>
      </c>
      <c r="F101" s="190">
        <v>25873</v>
      </c>
      <c r="G101" s="190">
        <v>5029</v>
      </c>
      <c r="H101" s="190">
        <v>71159</v>
      </c>
      <c r="I101" s="190">
        <v>19149</v>
      </c>
      <c r="J101" s="190">
        <f t="shared" si="6"/>
        <v>102061</v>
      </c>
      <c r="K101" s="329">
        <v>5.7000000000000002E-2</v>
      </c>
      <c r="L101" s="329">
        <v>0.21199999999999999</v>
      </c>
      <c r="M101" s="330">
        <v>0.16699999999999998</v>
      </c>
      <c r="N101" s="191">
        <f t="shared" si="7"/>
        <v>282.94800000000004</v>
      </c>
      <c r="O101" s="192">
        <f t="shared" si="8"/>
        <v>1474.761</v>
      </c>
      <c r="P101" s="192">
        <f t="shared" si="8"/>
        <v>1066.1479999999999</v>
      </c>
      <c r="Q101" s="192">
        <f t="shared" si="9"/>
        <v>15085.707999999999</v>
      </c>
      <c r="R101" s="192">
        <f t="shared" si="10"/>
        <v>16151.855999999998</v>
      </c>
      <c r="S101" s="192">
        <f t="shared" si="11"/>
        <v>17044.186999999998</v>
      </c>
      <c r="U101" s="350"/>
    </row>
    <row r="102" spans="1:21" ht="24.95" customHeight="1">
      <c r="A102" s="187" t="s">
        <v>139</v>
      </c>
      <c r="B102" s="188" t="s">
        <v>428</v>
      </c>
      <c r="C102" s="189" t="s">
        <v>222</v>
      </c>
      <c r="D102" s="190">
        <v>70116</v>
      </c>
      <c r="E102" s="190">
        <v>2063</v>
      </c>
      <c r="F102" s="190">
        <v>12384</v>
      </c>
      <c r="G102" s="190">
        <v>2431</v>
      </c>
      <c r="H102" s="190">
        <v>39106</v>
      </c>
      <c r="I102" s="190">
        <v>14132</v>
      </c>
      <c r="J102" s="190">
        <f t="shared" si="6"/>
        <v>53921</v>
      </c>
      <c r="K102" s="329">
        <v>5.7999999999999996E-2</v>
      </c>
      <c r="L102" s="329">
        <v>0.22500000000000001</v>
      </c>
      <c r="M102" s="330">
        <v>0.18100000000000002</v>
      </c>
      <c r="N102" s="191">
        <f t="shared" si="7"/>
        <v>119.654</v>
      </c>
      <c r="O102" s="192">
        <f t="shared" si="8"/>
        <v>718.27199999999993</v>
      </c>
      <c r="P102" s="192">
        <f t="shared" si="8"/>
        <v>546.97500000000002</v>
      </c>
      <c r="Q102" s="192">
        <f t="shared" si="9"/>
        <v>8798.85</v>
      </c>
      <c r="R102" s="192">
        <f t="shared" si="10"/>
        <v>9345.8250000000007</v>
      </c>
      <c r="S102" s="192">
        <f t="shared" si="11"/>
        <v>9759.7010000000009</v>
      </c>
      <c r="U102" s="350"/>
    </row>
    <row r="103" spans="1:21" ht="24.95" customHeight="1">
      <c r="A103" s="187" t="s">
        <v>99</v>
      </c>
      <c r="B103" s="188" t="s">
        <v>15</v>
      </c>
      <c r="C103" s="189" t="s">
        <v>222</v>
      </c>
      <c r="D103" s="190">
        <v>82066</v>
      </c>
      <c r="E103" s="190">
        <v>2799</v>
      </c>
      <c r="F103" s="190">
        <v>16218</v>
      </c>
      <c r="G103" s="190">
        <v>3016</v>
      </c>
      <c r="H103" s="190">
        <v>46317</v>
      </c>
      <c r="I103" s="190">
        <v>13716</v>
      </c>
      <c r="J103" s="190">
        <f t="shared" si="6"/>
        <v>65551</v>
      </c>
      <c r="K103" s="329">
        <v>5.7000000000000002E-2</v>
      </c>
      <c r="L103" s="329">
        <v>0.22899999999999998</v>
      </c>
      <c r="M103" s="330">
        <v>0.18</v>
      </c>
      <c r="N103" s="191">
        <f t="shared" si="7"/>
        <v>159.54300000000001</v>
      </c>
      <c r="O103" s="192">
        <f t="shared" si="8"/>
        <v>924.42600000000004</v>
      </c>
      <c r="P103" s="192">
        <f t="shared" si="8"/>
        <v>690.66399999999999</v>
      </c>
      <c r="Q103" s="192">
        <f t="shared" si="9"/>
        <v>10606.592999999999</v>
      </c>
      <c r="R103" s="192">
        <f t="shared" si="10"/>
        <v>11297.257</v>
      </c>
      <c r="S103" s="192">
        <f t="shared" si="11"/>
        <v>11799.18</v>
      </c>
      <c r="U103" s="350"/>
    </row>
    <row r="104" spans="1:21" ht="24.95" customHeight="1">
      <c r="A104" s="187" t="s">
        <v>108</v>
      </c>
      <c r="B104" s="188" t="s">
        <v>16</v>
      </c>
      <c r="C104" s="189" t="s">
        <v>221</v>
      </c>
      <c r="D104" s="190">
        <v>37457</v>
      </c>
      <c r="E104" s="190">
        <v>1147</v>
      </c>
      <c r="F104" s="190">
        <v>6804</v>
      </c>
      <c r="G104" s="190">
        <v>1402</v>
      </c>
      <c r="H104" s="190">
        <v>21117</v>
      </c>
      <c r="I104" s="190">
        <v>6987</v>
      </c>
      <c r="J104" s="190">
        <f t="shared" si="6"/>
        <v>29323</v>
      </c>
      <c r="K104" s="329">
        <v>6.7000000000000004E-2</v>
      </c>
      <c r="L104" s="329">
        <v>0.20399999999999999</v>
      </c>
      <c r="M104" s="330">
        <v>0.16699999999999998</v>
      </c>
      <c r="N104" s="191">
        <f t="shared" si="7"/>
        <v>76.849000000000004</v>
      </c>
      <c r="O104" s="192">
        <f t="shared" si="8"/>
        <v>455.86800000000005</v>
      </c>
      <c r="P104" s="192">
        <f t="shared" si="8"/>
        <v>286.00799999999998</v>
      </c>
      <c r="Q104" s="192">
        <f t="shared" si="9"/>
        <v>4307.8679999999995</v>
      </c>
      <c r="R104" s="192">
        <f t="shared" si="10"/>
        <v>4593.8759999999993</v>
      </c>
      <c r="S104" s="192">
        <f t="shared" si="11"/>
        <v>4896.9409999999998</v>
      </c>
      <c r="U104" s="350"/>
    </row>
    <row r="105" spans="1:21" ht="24.95" customHeight="1">
      <c r="A105" s="187" t="s">
        <v>140</v>
      </c>
      <c r="B105" s="188" t="s">
        <v>428</v>
      </c>
      <c r="C105" s="189" t="s">
        <v>222</v>
      </c>
      <c r="D105" s="190">
        <v>17921</v>
      </c>
      <c r="E105" s="190">
        <v>523</v>
      </c>
      <c r="F105" s="190">
        <v>2811</v>
      </c>
      <c r="G105" s="190">
        <v>545</v>
      </c>
      <c r="H105" s="190">
        <v>9754</v>
      </c>
      <c r="I105" s="190">
        <v>4288</v>
      </c>
      <c r="J105" s="190">
        <f t="shared" si="6"/>
        <v>13110</v>
      </c>
      <c r="K105" s="329">
        <v>7.0999999999999994E-2</v>
      </c>
      <c r="L105" s="329">
        <v>0.19699999999999998</v>
      </c>
      <c r="M105" s="331">
        <v>0.16500000000000001</v>
      </c>
      <c r="N105" s="191">
        <f t="shared" si="7"/>
        <v>37.132999999999996</v>
      </c>
      <c r="O105" s="192">
        <f t="shared" si="8"/>
        <v>199.58099999999999</v>
      </c>
      <c r="P105" s="192">
        <f t="shared" si="8"/>
        <v>107.36499999999999</v>
      </c>
      <c r="Q105" s="192">
        <f t="shared" si="9"/>
        <v>1921.5379999999998</v>
      </c>
      <c r="R105" s="192">
        <f t="shared" si="10"/>
        <v>2028.9029999999998</v>
      </c>
      <c r="S105" s="192">
        <f t="shared" si="11"/>
        <v>2163.15</v>
      </c>
      <c r="U105" s="350"/>
    </row>
    <row r="106" spans="1:21" ht="20.100000000000001" customHeight="1">
      <c r="D106" s="197"/>
      <c r="E106" s="197"/>
      <c r="F106" s="197"/>
      <c r="G106" s="197"/>
      <c r="H106" s="197"/>
      <c r="I106" s="198"/>
      <c r="J106" s="198"/>
      <c r="K106" s="332"/>
      <c r="L106" s="332"/>
      <c r="M106" s="333"/>
      <c r="N106" s="199"/>
      <c r="O106" s="199"/>
      <c r="P106" s="199"/>
      <c r="Q106" s="199"/>
      <c r="R106" s="199"/>
      <c r="S106" s="197"/>
      <c r="U106" s="350"/>
    </row>
    <row r="107" spans="1:21" ht="24.95" customHeight="1">
      <c r="A107" s="200" t="s">
        <v>223</v>
      </c>
      <c r="B107" s="182"/>
      <c r="C107" s="183"/>
      <c r="D107" s="201">
        <f t="shared" ref="D107:J107" si="12">SUM(D6:D105)</f>
        <v>10157928</v>
      </c>
      <c r="E107" s="201">
        <f t="shared" si="12"/>
        <v>358925</v>
      </c>
      <c r="F107" s="201">
        <f t="shared" si="12"/>
        <v>1947064</v>
      </c>
      <c r="G107" s="201">
        <f t="shared" si="12"/>
        <v>435305</v>
      </c>
      <c r="H107" s="201">
        <f t="shared" si="12"/>
        <v>5858597</v>
      </c>
      <c r="I107" s="201">
        <f t="shared" si="12"/>
        <v>1558037</v>
      </c>
      <c r="J107" s="201">
        <f t="shared" si="12"/>
        <v>8240966</v>
      </c>
      <c r="K107" s="327">
        <v>5.5E-2</v>
      </c>
      <c r="L107" s="327">
        <v>0.189</v>
      </c>
      <c r="M107" s="327">
        <v>0.152</v>
      </c>
      <c r="N107" s="186">
        <f t="shared" ref="N107:S107" si="13">SUM(N6:N105)</f>
        <v>19749.034</v>
      </c>
      <c r="O107" s="186">
        <f t="shared" si="13"/>
        <v>107892.69299999997</v>
      </c>
      <c r="P107" s="186">
        <f t="shared" si="13"/>
        <v>81651.628000000026</v>
      </c>
      <c r="Q107" s="186">
        <f t="shared" si="13"/>
        <v>1105491.2709999999</v>
      </c>
      <c r="R107" s="186">
        <f t="shared" si="13"/>
        <v>1187142.8989999997</v>
      </c>
      <c r="S107" s="201">
        <f t="shared" si="13"/>
        <v>1248532.2830000005</v>
      </c>
      <c r="U107" s="351"/>
    </row>
    <row r="108" spans="1:21">
      <c r="N108" s="202">
        <f>N107/E107</f>
        <v>5.5022731768475309E-2</v>
      </c>
      <c r="O108" s="202">
        <f>O107/F107</f>
        <v>5.5413018267504291E-2</v>
      </c>
      <c r="P108" s="202">
        <f>P107/G107</f>
        <v>0.18757337498994964</v>
      </c>
      <c r="Q108" s="202">
        <f>Q107/H107</f>
        <v>0.18869556499619278</v>
      </c>
      <c r="R108" s="202">
        <f>R107/SUM(G107:H107)</f>
        <v>0.18861795099447048</v>
      </c>
      <c r="S108" s="202">
        <f>S107/J107</f>
        <v>0.15150314696116943</v>
      </c>
      <c r="U108" s="202"/>
    </row>
    <row r="109" spans="1:21" ht="20.100000000000001" customHeight="1">
      <c r="A109" s="162" t="s">
        <v>420</v>
      </c>
    </row>
    <row r="110" spans="1:21" ht="39.950000000000003" customHeight="1">
      <c r="A110" s="445" t="s">
        <v>421</v>
      </c>
      <c r="B110" s="445"/>
      <c r="C110" s="445"/>
      <c r="D110" s="445"/>
      <c r="E110" s="445"/>
      <c r="F110" s="445"/>
      <c r="G110" s="445"/>
      <c r="H110" s="445"/>
      <c r="I110" s="445"/>
      <c r="J110" s="445"/>
      <c r="K110" s="445"/>
      <c r="L110" s="445"/>
      <c r="M110" s="445"/>
      <c r="N110" s="445"/>
      <c r="O110" s="445"/>
      <c r="P110" s="445"/>
      <c r="Q110" s="445"/>
      <c r="R110" s="445"/>
      <c r="S110" s="445"/>
    </row>
    <row r="111" spans="1:21" ht="90" customHeight="1">
      <c r="A111" s="446" t="s">
        <v>427</v>
      </c>
      <c r="B111" s="446"/>
      <c r="C111" s="446"/>
      <c r="D111" s="446"/>
      <c r="E111" s="446"/>
      <c r="F111" s="446"/>
      <c r="G111" s="446"/>
      <c r="H111" s="446"/>
      <c r="I111" s="446"/>
      <c r="J111" s="446"/>
      <c r="K111" s="446"/>
      <c r="L111" s="446"/>
      <c r="M111" s="446"/>
      <c r="N111" s="446"/>
      <c r="O111" s="446"/>
      <c r="P111" s="446"/>
      <c r="Q111" s="446"/>
      <c r="R111" s="446"/>
      <c r="S111" s="446"/>
    </row>
  </sheetData>
  <sheetProtection sheet="1" objects="1" scenarios="1"/>
  <autoFilter ref="A5:S107" xr:uid="{00000000-0009-0000-0000-000022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23"/>
  <sheetViews>
    <sheetView workbookViewId="0">
      <pane ySplit="4" topLeftCell="A5" activePane="bottomLeft" state="frozen"/>
      <selection activeCell="B18" sqref="B18"/>
      <selection pane="bottomLeft" activeCell="E22" sqref="E22"/>
    </sheetView>
  </sheetViews>
  <sheetFormatPr defaultRowHeight="12.75"/>
  <cols>
    <col min="1" max="1" width="46.5703125" style="354" bestFit="1" customWidth="1"/>
    <col min="2" max="2" width="18.7109375" style="356" customWidth="1"/>
    <col min="3" max="4" width="18.7109375" style="354" customWidth="1"/>
    <col min="5" max="5" width="21.42578125" style="354" bestFit="1" customWidth="1"/>
    <col min="6" max="16384" width="9.140625" style="354"/>
  </cols>
  <sheetData>
    <row r="1" spans="1:5" ht="18">
      <c r="A1" s="352" t="s">
        <v>422</v>
      </c>
      <c r="B1" s="353"/>
      <c r="C1" s="353"/>
      <c r="D1" s="353"/>
      <c r="E1" s="353"/>
    </row>
    <row r="2" spans="1:5" ht="30">
      <c r="A2" s="366" t="s">
        <v>423</v>
      </c>
      <c r="B2" s="355"/>
      <c r="C2" s="355"/>
      <c r="D2" s="355"/>
      <c r="E2" s="355"/>
    </row>
    <row r="4" spans="1:5" ht="38.25">
      <c r="A4" s="319" t="s">
        <v>229</v>
      </c>
      <c r="B4" s="335" t="s">
        <v>383</v>
      </c>
      <c r="C4" s="367" t="s">
        <v>384</v>
      </c>
      <c r="D4" s="335" t="s">
        <v>385</v>
      </c>
      <c r="E4" s="335" t="s">
        <v>386</v>
      </c>
    </row>
    <row r="5" spans="1:5" ht="14.25">
      <c r="A5" s="368" t="s">
        <v>13</v>
      </c>
      <c r="B5" s="369">
        <v>20036.628000000001</v>
      </c>
      <c r="C5" s="369">
        <v>12944.487999999999</v>
      </c>
      <c r="D5" s="369">
        <v>181028.31599999999</v>
      </c>
      <c r="E5" s="369">
        <v>206004.05499999999</v>
      </c>
    </row>
    <row r="6" spans="1:5" ht="14.25">
      <c r="A6" s="370" t="s">
        <v>41</v>
      </c>
      <c r="B6" s="371">
        <v>3568.817</v>
      </c>
      <c r="C6" s="371">
        <v>2623.27</v>
      </c>
      <c r="D6" s="371">
        <v>32256.65</v>
      </c>
      <c r="E6" s="371">
        <v>37253.206000000006</v>
      </c>
    </row>
    <row r="7" spans="1:5" ht="14.25">
      <c r="A7" s="372" t="s">
        <v>42</v>
      </c>
      <c r="B7" s="373">
        <v>2822.0570000000002</v>
      </c>
      <c r="C7" s="373">
        <v>2637.6660000000002</v>
      </c>
      <c r="D7" s="373">
        <v>34064.970000000008</v>
      </c>
      <c r="E7" s="373">
        <v>38492.769</v>
      </c>
    </row>
    <row r="8" spans="1:5" ht="14.25">
      <c r="A8" s="372" t="s">
        <v>43</v>
      </c>
      <c r="B8" s="373">
        <v>2586.654</v>
      </c>
      <c r="C8" s="373">
        <v>1480.682</v>
      </c>
      <c r="D8" s="373">
        <v>21875.077000000001</v>
      </c>
      <c r="E8" s="373">
        <v>24977.760000000002</v>
      </c>
    </row>
    <row r="9" spans="1:5" ht="14.25">
      <c r="A9" s="372" t="s">
        <v>44</v>
      </c>
      <c r="B9" s="373">
        <v>11059.1</v>
      </c>
      <c r="C9" s="373">
        <v>6202.87</v>
      </c>
      <c r="D9" s="373">
        <v>92831.618999999992</v>
      </c>
      <c r="E9" s="373">
        <v>105280.31999999999</v>
      </c>
    </row>
    <row r="10" spans="1:5" ht="14.25">
      <c r="A10" s="203"/>
      <c r="B10" s="375"/>
      <c r="C10" s="375"/>
      <c r="D10" s="375"/>
      <c r="E10" s="375"/>
    </row>
    <row r="11" spans="1:5" ht="14.25">
      <c r="A11" s="368" t="s">
        <v>14</v>
      </c>
      <c r="B11" s="369">
        <v>32002.855000000003</v>
      </c>
      <c r="C11" s="369">
        <v>22782.640000000003</v>
      </c>
      <c r="D11" s="369">
        <v>338504.80900000001</v>
      </c>
      <c r="E11" s="369">
        <v>377365.08500000008</v>
      </c>
    </row>
    <row r="12" spans="1:5" ht="14.25">
      <c r="A12" s="320" t="s">
        <v>45</v>
      </c>
      <c r="B12" s="371">
        <v>1688.5679999999998</v>
      </c>
      <c r="C12" s="371">
        <v>1662.3360000000002</v>
      </c>
      <c r="D12" s="371">
        <v>18685.888000000003</v>
      </c>
      <c r="E12" s="371">
        <v>21116.865000000002</v>
      </c>
    </row>
    <row r="13" spans="1:5" ht="14.25">
      <c r="A13" s="321" t="s">
        <v>46</v>
      </c>
      <c r="B13" s="373">
        <v>2263.768</v>
      </c>
      <c r="C13" s="373">
        <v>1330.76</v>
      </c>
      <c r="D13" s="373">
        <v>19791.740000000002</v>
      </c>
      <c r="E13" s="373">
        <v>22483.056</v>
      </c>
    </row>
    <row r="14" spans="1:5" ht="14.25">
      <c r="A14" s="321" t="s">
        <v>47</v>
      </c>
      <c r="B14" s="373">
        <v>208.15199999999999</v>
      </c>
      <c r="C14" s="373">
        <v>141.27600000000001</v>
      </c>
      <c r="D14" s="373">
        <v>2700.6489999999999</v>
      </c>
      <c r="E14" s="373">
        <v>2913.8360000000002</v>
      </c>
    </row>
    <row r="15" spans="1:5" ht="14.25">
      <c r="A15" s="321" t="s">
        <v>48</v>
      </c>
      <c r="B15" s="373">
        <v>850.79299999999989</v>
      </c>
      <c r="C15" s="373">
        <v>394.44299999999993</v>
      </c>
      <c r="D15" s="373">
        <v>7226.4149999999991</v>
      </c>
      <c r="E15" s="373">
        <v>8211.8850000000002</v>
      </c>
    </row>
    <row r="16" spans="1:5" ht="14.25">
      <c r="A16" s="363" t="s">
        <v>49</v>
      </c>
      <c r="B16" s="376">
        <v>1455.1669999999999</v>
      </c>
      <c r="C16" s="376">
        <v>1150.4799999999998</v>
      </c>
      <c r="D16" s="376">
        <v>18730.956999999999</v>
      </c>
      <c r="E16" s="376">
        <v>20441.71</v>
      </c>
    </row>
    <row r="17" spans="1:5" ht="14.25">
      <c r="A17" s="364" t="s">
        <v>60</v>
      </c>
      <c r="B17" s="377">
        <v>515.90000000000009</v>
      </c>
      <c r="C17" s="377">
        <v>256.108</v>
      </c>
      <c r="D17" s="377">
        <v>4014.1359999999995</v>
      </c>
      <c r="E17" s="377">
        <v>4636.3680000000004</v>
      </c>
    </row>
    <row r="18" spans="1:5" ht="14.25">
      <c r="A18" s="364" t="s">
        <v>61</v>
      </c>
      <c r="B18" s="377">
        <v>3465.6390000000001</v>
      </c>
      <c r="C18" s="377">
        <v>3053.288</v>
      </c>
      <c r="D18" s="377">
        <v>41776.811999999998</v>
      </c>
      <c r="E18" s="377">
        <v>46276.686000000002</v>
      </c>
    </row>
    <row r="19" spans="1:5" ht="14.25">
      <c r="A19" s="364" t="s">
        <v>50</v>
      </c>
      <c r="B19" s="377">
        <v>790.33600000000001</v>
      </c>
      <c r="C19" s="377">
        <v>549.68999999999994</v>
      </c>
      <c r="D19" s="377">
        <v>8168.2619999999988</v>
      </c>
      <c r="E19" s="377">
        <v>9127.4749999999985</v>
      </c>
    </row>
    <row r="20" spans="1:5" ht="14.25">
      <c r="A20" s="364" t="s">
        <v>51</v>
      </c>
      <c r="B20" s="377">
        <v>585.62599999999998</v>
      </c>
      <c r="C20" s="377">
        <v>454.07800000000003</v>
      </c>
      <c r="D20" s="377">
        <v>6220.7440000000006</v>
      </c>
      <c r="E20" s="377">
        <v>6949.0159999999996</v>
      </c>
    </row>
    <row r="21" spans="1:5" ht="14.25">
      <c r="A21" s="364" t="s">
        <v>52</v>
      </c>
      <c r="B21" s="377">
        <v>481.8</v>
      </c>
      <c r="C21" s="377">
        <v>341.43999999999994</v>
      </c>
      <c r="D21" s="377">
        <v>5716.985999999999</v>
      </c>
      <c r="E21" s="377">
        <v>6334.0749999999998</v>
      </c>
    </row>
    <row r="22" spans="1:5" ht="14.25">
      <c r="A22" s="364" t="s">
        <v>100</v>
      </c>
      <c r="B22" s="377">
        <v>11018.332</v>
      </c>
      <c r="C22" s="377">
        <v>6807.5479999999998</v>
      </c>
      <c r="D22" s="377">
        <v>121848.452</v>
      </c>
      <c r="E22" s="377">
        <v>134083.75899999999</v>
      </c>
    </row>
    <row r="23" spans="1:5" ht="14.25">
      <c r="A23" s="364" t="s">
        <v>53</v>
      </c>
      <c r="B23" s="377">
        <v>1351.527</v>
      </c>
      <c r="C23" s="377">
        <v>1758.8160000000003</v>
      </c>
      <c r="D23" s="377">
        <v>12306.528000000002</v>
      </c>
      <c r="E23" s="377">
        <v>14687.826999999999</v>
      </c>
    </row>
    <row r="24" spans="1:5" ht="14.25">
      <c r="A24" s="364" t="s">
        <v>54</v>
      </c>
      <c r="B24" s="377">
        <v>395.69599999999997</v>
      </c>
      <c r="C24" s="377">
        <v>223.21299999999999</v>
      </c>
      <c r="D24" s="377">
        <v>4046.6529999999998</v>
      </c>
      <c r="E24" s="377">
        <v>4514.32</v>
      </c>
    </row>
    <row r="25" spans="1:5" ht="14.25">
      <c r="A25" s="364" t="s">
        <v>62</v>
      </c>
      <c r="B25" s="377">
        <v>875.93400000000008</v>
      </c>
      <c r="C25" s="377">
        <v>574.08000000000004</v>
      </c>
      <c r="D25" s="377">
        <v>9724.768</v>
      </c>
      <c r="E25" s="377">
        <v>10828.949999999999</v>
      </c>
    </row>
    <row r="26" spans="1:5" ht="14.25">
      <c r="A26" s="364" t="s">
        <v>55</v>
      </c>
      <c r="B26" s="377">
        <v>1564.5030000000002</v>
      </c>
      <c r="C26" s="377">
        <v>1198.4359999999999</v>
      </c>
      <c r="D26" s="377">
        <v>16796.335999999999</v>
      </c>
      <c r="E26" s="377">
        <v>18826.261999999999</v>
      </c>
    </row>
    <row r="27" spans="1:5" ht="14.25">
      <c r="A27" s="364" t="s">
        <v>56</v>
      </c>
      <c r="B27" s="377">
        <v>586.65700000000004</v>
      </c>
      <c r="C27" s="377">
        <v>421.44900000000001</v>
      </c>
      <c r="D27" s="377">
        <v>6407.9279999999999</v>
      </c>
      <c r="E27" s="377">
        <v>7113.0359999999991</v>
      </c>
    </row>
    <row r="28" spans="1:5" ht="14.25">
      <c r="A28" s="364" t="s">
        <v>63</v>
      </c>
      <c r="B28" s="377">
        <v>390.50699999999995</v>
      </c>
      <c r="C28" s="377">
        <v>272.93399999999997</v>
      </c>
      <c r="D28" s="377">
        <v>4846.4369999999999</v>
      </c>
      <c r="E28" s="377">
        <v>5304.0999999999995</v>
      </c>
    </row>
    <row r="29" spans="1:5" ht="14.25">
      <c r="A29" s="364" t="s">
        <v>57</v>
      </c>
      <c r="B29" s="377">
        <v>2832.61</v>
      </c>
      <c r="C29" s="377">
        <v>1720.0890000000002</v>
      </c>
      <c r="D29" s="377">
        <v>22011.120000000003</v>
      </c>
      <c r="E29" s="377">
        <v>25117.092000000001</v>
      </c>
    </row>
    <row r="30" spans="1:5" ht="14.25">
      <c r="A30" s="365" t="s">
        <v>58</v>
      </c>
      <c r="B30" s="378">
        <v>453.35</v>
      </c>
      <c r="C30" s="378">
        <v>351.47999999999996</v>
      </c>
      <c r="D30" s="378">
        <v>5032.6279999999997</v>
      </c>
      <c r="E30" s="378">
        <v>5679.6390000000001</v>
      </c>
    </row>
    <row r="31" spans="1:5" ht="14.25">
      <c r="A31" s="321" t="s">
        <v>59</v>
      </c>
      <c r="B31" s="373">
        <v>227.99</v>
      </c>
      <c r="C31" s="373">
        <v>120.696</v>
      </c>
      <c r="D31" s="373">
        <v>2451.37</v>
      </c>
      <c r="E31" s="373">
        <v>2719.1280000000002</v>
      </c>
    </row>
    <row r="32" spans="1:5" ht="14.25">
      <c r="A32" s="203"/>
      <c r="B32" s="375"/>
      <c r="C32" s="375"/>
      <c r="D32" s="375"/>
      <c r="E32" s="375"/>
    </row>
    <row r="33" spans="1:5" ht="14.25">
      <c r="A33" s="368" t="s">
        <v>15</v>
      </c>
      <c r="B33" s="369">
        <v>9891.9140000000007</v>
      </c>
      <c r="C33" s="369">
        <v>8121.6550000000007</v>
      </c>
      <c r="D33" s="369">
        <v>107393.94</v>
      </c>
      <c r="E33" s="369">
        <v>120708.85200000001</v>
      </c>
    </row>
    <row r="34" spans="1:5" ht="14.25">
      <c r="A34" s="320" t="s">
        <v>88</v>
      </c>
      <c r="B34" s="371">
        <v>425.91900000000004</v>
      </c>
      <c r="C34" s="371">
        <v>300.61</v>
      </c>
      <c r="D34" s="371">
        <v>4528.01</v>
      </c>
      <c r="E34" s="371">
        <v>5087.286000000001</v>
      </c>
    </row>
    <row r="35" spans="1:5" ht="14.25">
      <c r="A35" s="321" t="s">
        <v>89</v>
      </c>
      <c r="B35" s="373">
        <v>676.41600000000005</v>
      </c>
      <c r="C35" s="373">
        <v>509.80799999999999</v>
      </c>
      <c r="D35" s="373">
        <v>7430.0640000000003</v>
      </c>
      <c r="E35" s="373">
        <v>8261.5259999999998</v>
      </c>
    </row>
    <row r="36" spans="1:5" ht="14.25">
      <c r="A36" s="321" t="s">
        <v>90</v>
      </c>
      <c r="B36" s="373">
        <v>1054.7650000000001</v>
      </c>
      <c r="C36" s="373">
        <v>714.92</v>
      </c>
      <c r="D36" s="373">
        <v>9789.1299999999992</v>
      </c>
      <c r="E36" s="373">
        <v>11196.088</v>
      </c>
    </row>
    <row r="37" spans="1:5" ht="14.25">
      <c r="A37" s="321" t="s">
        <v>91</v>
      </c>
      <c r="B37" s="373">
        <v>424.90499999999997</v>
      </c>
      <c r="C37" s="373">
        <v>393.63499999999999</v>
      </c>
      <c r="D37" s="373">
        <v>5743.8919999999998</v>
      </c>
      <c r="E37" s="373">
        <v>6338.82</v>
      </c>
    </row>
    <row r="38" spans="1:5" ht="14.25">
      <c r="A38" s="321" t="s">
        <v>92</v>
      </c>
      <c r="B38" s="373">
        <v>307.76900000000001</v>
      </c>
      <c r="C38" s="373">
        <v>187.24600000000001</v>
      </c>
      <c r="D38" s="373">
        <v>3188.453</v>
      </c>
      <c r="E38" s="373">
        <v>3506.6460000000002</v>
      </c>
    </row>
    <row r="39" spans="1:5" ht="14.25">
      <c r="A39" s="321" t="s">
        <v>93</v>
      </c>
      <c r="B39" s="373">
        <v>581.88</v>
      </c>
      <c r="C39" s="373">
        <v>423.12600000000003</v>
      </c>
      <c r="D39" s="373">
        <v>6453.018</v>
      </c>
      <c r="E39" s="373">
        <v>7255.0439999999999</v>
      </c>
    </row>
    <row r="40" spans="1:5" ht="14.25">
      <c r="A40" s="321" t="s">
        <v>94</v>
      </c>
      <c r="B40" s="373">
        <v>924.10799999999995</v>
      </c>
      <c r="C40" s="373">
        <v>671.64</v>
      </c>
      <c r="D40" s="373">
        <v>10368.539000000001</v>
      </c>
      <c r="E40" s="373">
        <v>11494.405999999999</v>
      </c>
    </row>
    <row r="41" spans="1:5" ht="14.25">
      <c r="A41" s="321" t="s">
        <v>95</v>
      </c>
      <c r="B41" s="373">
        <v>1802.385</v>
      </c>
      <c r="C41" s="373">
        <v>2183.6280000000002</v>
      </c>
      <c r="D41" s="373">
        <v>20844.648000000001</v>
      </c>
      <c r="E41" s="373">
        <v>23674.917000000001</v>
      </c>
    </row>
    <row r="42" spans="1:5" ht="14.25">
      <c r="A42" s="321" t="s">
        <v>96</v>
      </c>
      <c r="B42" s="373">
        <v>941.78000000000009</v>
      </c>
      <c r="C42" s="373">
        <v>684.27800000000002</v>
      </c>
      <c r="D42" s="373">
        <v>9163.1610000000001</v>
      </c>
      <c r="E42" s="373">
        <v>10449.425000000001</v>
      </c>
    </row>
    <row r="43" spans="1:5" ht="14.25">
      <c r="A43" s="321" t="s">
        <v>97</v>
      </c>
      <c r="B43" s="373">
        <v>352.8</v>
      </c>
      <c r="C43" s="373">
        <v>295.952</v>
      </c>
      <c r="D43" s="373">
        <v>4192.7240000000002</v>
      </c>
      <c r="E43" s="373">
        <v>4601.3270000000002</v>
      </c>
    </row>
    <row r="44" spans="1:5" ht="14.25">
      <c r="A44" s="321" t="s">
        <v>98</v>
      </c>
      <c r="B44" s="373">
        <v>1474.761</v>
      </c>
      <c r="C44" s="373">
        <v>1066.1479999999999</v>
      </c>
      <c r="D44" s="373">
        <v>15085.707999999999</v>
      </c>
      <c r="E44" s="373">
        <v>17044.186999999998</v>
      </c>
    </row>
    <row r="45" spans="1:5" ht="14.25">
      <c r="A45" s="321" t="s">
        <v>99</v>
      </c>
      <c r="B45" s="373">
        <v>924.42600000000004</v>
      </c>
      <c r="C45" s="373">
        <v>690.66399999999999</v>
      </c>
      <c r="D45" s="373">
        <v>10606.592999999999</v>
      </c>
      <c r="E45" s="373">
        <v>11799.18</v>
      </c>
    </row>
    <row r="46" spans="1:5" ht="14.25">
      <c r="A46" s="203"/>
      <c r="B46" s="375"/>
      <c r="C46" s="375"/>
      <c r="D46" s="375"/>
      <c r="E46" s="375"/>
    </row>
    <row r="47" spans="1:5" ht="14.25">
      <c r="A47" s="368" t="s">
        <v>16</v>
      </c>
      <c r="B47" s="369">
        <v>9831.6160000000018</v>
      </c>
      <c r="C47" s="369">
        <v>7294.262999999999</v>
      </c>
      <c r="D47" s="369">
        <v>102510.57</v>
      </c>
      <c r="E47" s="369">
        <v>115775.163</v>
      </c>
    </row>
    <row r="48" spans="1:5" ht="14.25">
      <c r="A48" s="320" t="s">
        <v>101</v>
      </c>
      <c r="B48" s="371">
        <v>874.83199999999988</v>
      </c>
      <c r="C48" s="371">
        <v>916.02</v>
      </c>
      <c r="D48" s="371">
        <v>10430.91</v>
      </c>
      <c r="E48" s="371">
        <v>11980.66</v>
      </c>
    </row>
    <row r="49" spans="1:5" ht="14.25">
      <c r="A49" s="321" t="s">
        <v>102</v>
      </c>
      <c r="B49" s="373">
        <v>1672.6639999999998</v>
      </c>
      <c r="C49" s="373">
        <v>1181.76</v>
      </c>
      <c r="D49" s="373">
        <v>17107.583999999999</v>
      </c>
      <c r="E49" s="373">
        <v>19269.403999999999</v>
      </c>
    </row>
    <row r="50" spans="1:5" ht="14.25">
      <c r="A50" s="321" t="s">
        <v>103</v>
      </c>
      <c r="B50" s="373">
        <v>836.60199999999998</v>
      </c>
      <c r="C50" s="373">
        <v>767.649</v>
      </c>
      <c r="D50" s="373">
        <v>9813.4110000000001</v>
      </c>
      <c r="E50" s="373">
        <v>10993.347</v>
      </c>
    </row>
    <row r="51" spans="1:5" ht="14.25">
      <c r="A51" s="321" t="s">
        <v>104</v>
      </c>
      <c r="B51" s="373">
        <v>2147.2360000000003</v>
      </c>
      <c r="C51" s="373">
        <v>1635.876</v>
      </c>
      <c r="D51" s="373">
        <v>24438.546000000002</v>
      </c>
      <c r="E51" s="373">
        <v>27331.155999999999</v>
      </c>
    </row>
    <row r="52" spans="1:5" ht="14.25">
      <c r="A52" s="321" t="s">
        <v>105</v>
      </c>
      <c r="B52" s="373">
        <v>1972.96</v>
      </c>
      <c r="C52" s="373">
        <v>1242.5139999999999</v>
      </c>
      <c r="D52" s="373">
        <v>18159.05</v>
      </c>
      <c r="E52" s="373">
        <v>20586.173999999999</v>
      </c>
    </row>
    <row r="53" spans="1:5" ht="14.25">
      <c r="A53" s="321" t="s">
        <v>106</v>
      </c>
      <c r="B53" s="373">
        <v>897.798</v>
      </c>
      <c r="C53" s="373">
        <v>559.1160000000001</v>
      </c>
      <c r="D53" s="373">
        <v>8867.1780000000017</v>
      </c>
      <c r="E53" s="373">
        <v>10005.741</v>
      </c>
    </row>
    <row r="54" spans="1:5" ht="14.25">
      <c r="A54" s="321" t="s">
        <v>107</v>
      </c>
      <c r="B54" s="373">
        <v>973.65600000000006</v>
      </c>
      <c r="C54" s="373">
        <v>705.31999999999994</v>
      </c>
      <c r="D54" s="373">
        <v>9386.0229999999992</v>
      </c>
      <c r="E54" s="373">
        <v>10711.740000000002</v>
      </c>
    </row>
    <row r="55" spans="1:5" ht="14.25">
      <c r="A55" s="321" t="s">
        <v>108</v>
      </c>
      <c r="B55" s="373">
        <v>455.86800000000005</v>
      </c>
      <c r="C55" s="373">
        <v>286.00799999999998</v>
      </c>
      <c r="D55" s="373">
        <v>4307.8679999999995</v>
      </c>
      <c r="E55" s="373">
        <v>4896.9409999999998</v>
      </c>
    </row>
    <row r="56" spans="1:5" ht="14.25">
      <c r="A56" s="203"/>
      <c r="B56" s="375"/>
      <c r="C56" s="375"/>
      <c r="D56" s="375"/>
      <c r="E56" s="375"/>
    </row>
    <row r="57" spans="1:5" ht="14.25">
      <c r="A57" s="368" t="s">
        <v>17</v>
      </c>
      <c r="B57" s="369">
        <v>12746.880999999999</v>
      </c>
      <c r="C57" s="369">
        <v>9875.3140000000003</v>
      </c>
      <c r="D57" s="369">
        <v>122802.30299999999</v>
      </c>
      <c r="E57" s="369">
        <v>140185.73700000002</v>
      </c>
    </row>
    <row r="58" spans="1:5" ht="14.25">
      <c r="A58" s="320" t="s">
        <v>109</v>
      </c>
      <c r="B58" s="371">
        <v>254.21</v>
      </c>
      <c r="C58" s="371">
        <v>190.73600000000002</v>
      </c>
      <c r="D58" s="371">
        <v>3274.5440000000003</v>
      </c>
      <c r="E58" s="371">
        <v>3554.0939999999996</v>
      </c>
    </row>
    <row r="59" spans="1:5" ht="14.25">
      <c r="A59" s="321" t="s">
        <v>110</v>
      </c>
      <c r="B59" s="373">
        <v>5449.1919999999991</v>
      </c>
      <c r="C59" s="373">
        <v>4916.6610000000001</v>
      </c>
      <c r="D59" s="373">
        <v>55454.307000000001</v>
      </c>
      <c r="E59" s="373">
        <v>63226.044000000009</v>
      </c>
    </row>
    <row r="60" spans="1:5" ht="14.25">
      <c r="A60" s="321" t="s">
        <v>111</v>
      </c>
      <c r="B60" s="373">
        <v>1554.748</v>
      </c>
      <c r="C60" s="373">
        <v>1203.384</v>
      </c>
      <c r="D60" s="373">
        <v>14804.993</v>
      </c>
      <c r="E60" s="373">
        <v>16857.490000000002</v>
      </c>
    </row>
    <row r="61" spans="1:5" ht="14.25">
      <c r="A61" s="321" t="s">
        <v>112</v>
      </c>
      <c r="B61" s="373">
        <v>851.38200000000006</v>
      </c>
      <c r="C61" s="373">
        <v>462.52799999999996</v>
      </c>
      <c r="D61" s="373">
        <v>6425.2409999999991</v>
      </c>
      <c r="E61" s="373">
        <v>7644.05</v>
      </c>
    </row>
    <row r="62" spans="1:5" ht="14.25">
      <c r="A62" s="321" t="s">
        <v>113</v>
      </c>
      <c r="B62" s="373">
        <v>802.75200000000007</v>
      </c>
      <c r="C62" s="373">
        <v>514.46100000000001</v>
      </c>
      <c r="D62" s="373">
        <v>7291.6540000000005</v>
      </c>
      <c r="E62" s="373">
        <v>8320.9</v>
      </c>
    </row>
    <row r="63" spans="1:5" ht="14.25">
      <c r="A63" s="321" t="s">
        <v>114</v>
      </c>
      <c r="B63" s="373">
        <v>404.47199999999998</v>
      </c>
      <c r="C63" s="373">
        <v>277.95600000000002</v>
      </c>
      <c r="D63" s="373">
        <v>3809.7359999999999</v>
      </c>
      <c r="E63" s="373">
        <v>4330.143</v>
      </c>
    </row>
    <row r="64" spans="1:5" ht="14.25">
      <c r="A64" s="372" t="s">
        <v>115</v>
      </c>
      <c r="B64" s="373">
        <v>1038.4380000000001</v>
      </c>
      <c r="C64" s="373">
        <v>570.76800000000003</v>
      </c>
      <c r="D64" s="373">
        <v>8859.4159999999993</v>
      </c>
      <c r="E64" s="373">
        <v>10200</v>
      </c>
    </row>
    <row r="65" spans="1:5" ht="14.25">
      <c r="A65" s="372" t="s">
        <v>116</v>
      </c>
      <c r="B65" s="373">
        <v>1918.8210000000001</v>
      </c>
      <c r="C65" s="373">
        <v>1239.4199999999998</v>
      </c>
      <c r="D65" s="373">
        <v>17165.189999999999</v>
      </c>
      <c r="E65" s="373">
        <v>19626.5</v>
      </c>
    </row>
    <row r="66" spans="1:5" ht="14.25">
      <c r="A66" s="372" t="s">
        <v>117</v>
      </c>
      <c r="B66" s="373">
        <v>472.86599999999999</v>
      </c>
      <c r="C66" s="373">
        <v>499.4</v>
      </c>
      <c r="D66" s="373">
        <v>5717.2219999999998</v>
      </c>
      <c r="E66" s="373">
        <v>6426.5159999999996</v>
      </c>
    </row>
    <row r="67" spans="1:5" ht="14.25">
      <c r="A67" s="203"/>
      <c r="B67" s="375"/>
      <c r="C67" s="375"/>
      <c r="D67" s="375"/>
      <c r="E67" s="375"/>
    </row>
    <row r="68" spans="1:5" ht="14.25">
      <c r="A68" s="368" t="s">
        <v>381</v>
      </c>
      <c r="B68" s="369">
        <v>12481.514000000003</v>
      </c>
      <c r="C68" s="369">
        <v>11442.581</v>
      </c>
      <c r="D68" s="369">
        <v>130813.38400000001</v>
      </c>
      <c r="E68" s="369">
        <v>150077.24199999997</v>
      </c>
    </row>
    <row r="69" spans="1:5" ht="14.25">
      <c r="A69" s="320" t="s">
        <v>69</v>
      </c>
      <c r="B69" s="371">
        <v>570.10300000000007</v>
      </c>
      <c r="C69" s="371">
        <v>289.16999999999996</v>
      </c>
      <c r="D69" s="371">
        <v>4783.7789999999995</v>
      </c>
      <c r="E69" s="371">
        <v>5514.6</v>
      </c>
    </row>
    <row r="70" spans="1:5" ht="14.25">
      <c r="A70" s="321" t="s">
        <v>70</v>
      </c>
      <c r="B70" s="373">
        <v>156.04</v>
      </c>
      <c r="C70" s="373">
        <v>131.64800000000002</v>
      </c>
      <c r="D70" s="373">
        <v>2044.7680000000003</v>
      </c>
      <c r="E70" s="373">
        <v>2258.7840000000001</v>
      </c>
    </row>
    <row r="71" spans="1:5" ht="14.25">
      <c r="A71" s="321" t="s">
        <v>64</v>
      </c>
      <c r="B71" s="373">
        <v>1162.3499999999999</v>
      </c>
      <c r="C71" s="373">
        <v>652.49600000000009</v>
      </c>
      <c r="D71" s="373">
        <v>13467.584000000001</v>
      </c>
      <c r="E71" s="373">
        <v>15022.289999999999</v>
      </c>
    </row>
    <row r="72" spans="1:5" ht="14.25">
      <c r="A72" s="321" t="s">
        <v>71</v>
      </c>
      <c r="B72" s="373">
        <v>129.17600000000002</v>
      </c>
      <c r="C72" s="373">
        <v>60.32</v>
      </c>
      <c r="D72" s="373">
        <v>989.44</v>
      </c>
      <c r="E72" s="373">
        <v>1129.037</v>
      </c>
    </row>
    <row r="73" spans="1:5" ht="14.25">
      <c r="A73" s="321" t="s">
        <v>65</v>
      </c>
      <c r="B73" s="373">
        <v>628.79999999999995</v>
      </c>
      <c r="C73" s="373">
        <v>419.44499999999999</v>
      </c>
      <c r="D73" s="373">
        <v>7613.97</v>
      </c>
      <c r="E73" s="373">
        <v>8423.3510000000006</v>
      </c>
    </row>
    <row r="74" spans="1:5" ht="14.25">
      <c r="A74" s="321" t="s">
        <v>72</v>
      </c>
      <c r="B74" s="373">
        <v>175.20500000000001</v>
      </c>
      <c r="C74" s="373">
        <v>99.2</v>
      </c>
      <c r="D74" s="373">
        <v>1554.2</v>
      </c>
      <c r="E74" s="373">
        <v>1773.7660000000001</v>
      </c>
    </row>
    <row r="75" spans="1:5" ht="14.25">
      <c r="A75" s="321" t="s">
        <v>73</v>
      </c>
      <c r="B75" s="373">
        <v>1096.1000000000001</v>
      </c>
      <c r="C75" s="373">
        <v>861.38099999999997</v>
      </c>
      <c r="D75" s="373">
        <v>10403.549999999999</v>
      </c>
      <c r="E75" s="373">
        <v>12104.455</v>
      </c>
    </row>
    <row r="76" spans="1:5" ht="14.25">
      <c r="A76" s="321" t="s">
        <v>74</v>
      </c>
      <c r="B76" s="373">
        <v>307.38499999999999</v>
      </c>
      <c r="C76" s="373">
        <v>169.05400000000003</v>
      </c>
      <c r="D76" s="373">
        <v>2842.9670000000006</v>
      </c>
      <c r="E76" s="373">
        <v>3205.5</v>
      </c>
    </row>
    <row r="77" spans="1:5" ht="14.25">
      <c r="A77" s="321" t="s">
        <v>75</v>
      </c>
      <c r="B77" s="373">
        <v>438.29199999999997</v>
      </c>
      <c r="C77" s="373">
        <v>182.90300000000002</v>
      </c>
      <c r="D77" s="373">
        <v>4228.6930000000002</v>
      </c>
      <c r="E77" s="373">
        <v>4729.8279999999995</v>
      </c>
    </row>
    <row r="78" spans="1:5" ht="14.25">
      <c r="A78" s="321" t="s">
        <v>76</v>
      </c>
      <c r="B78" s="373">
        <v>126.41799999999999</v>
      </c>
      <c r="C78" s="373">
        <v>78.431999999999988</v>
      </c>
      <c r="D78" s="373">
        <v>1191.0999999999999</v>
      </c>
      <c r="E78" s="373">
        <v>1347.0600000000002</v>
      </c>
    </row>
    <row r="79" spans="1:5" ht="14.25">
      <c r="A79" s="321" t="s">
        <v>77</v>
      </c>
      <c r="B79" s="373">
        <v>211.24199999999999</v>
      </c>
      <c r="C79" s="373">
        <v>239.97799999999998</v>
      </c>
      <c r="D79" s="373">
        <v>2702.6139999999996</v>
      </c>
      <c r="E79" s="373">
        <v>3012.36</v>
      </c>
    </row>
    <row r="80" spans="1:5" ht="14.25">
      <c r="A80" s="321" t="s">
        <v>78</v>
      </c>
      <c r="B80" s="373">
        <v>74.00800000000001</v>
      </c>
      <c r="C80" s="373">
        <v>38.351999999999997</v>
      </c>
      <c r="D80" s="373">
        <v>715.22399999999993</v>
      </c>
      <c r="E80" s="373">
        <v>789.08999999999992</v>
      </c>
    </row>
    <row r="81" spans="1:5" ht="14.25">
      <c r="A81" s="321" t="s">
        <v>79</v>
      </c>
      <c r="B81" s="373">
        <v>132.38600000000002</v>
      </c>
      <c r="C81" s="373">
        <v>62.417999999999992</v>
      </c>
      <c r="D81" s="373">
        <v>1216.848</v>
      </c>
      <c r="E81" s="373">
        <v>1380.74</v>
      </c>
    </row>
    <row r="82" spans="1:5" ht="14.25">
      <c r="A82" s="321" t="s">
        <v>80</v>
      </c>
      <c r="B82" s="373">
        <v>228.30500000000001</v>
      </c>
      <c r="C82" s="373">
        <v>128.20500000000001</v>
      </c>
      <c r="D82" s="373">
        <v>2397.9699999999998</v>
      </c>
      <c r="E82" s="373">
        <v>2688.7060000000001</v>
      </c>
    </row>
    <row r="83" spans="1:5" ht="14.25">
      <c r="A83" s="321" t="s">
        <v>66</v>
      </c>
      <c r="B83" s="373">
        <v>1922.9400000000003</v>
      </c>
      <c r="C83" s="373">
        <v>2036.3219999999999</v>
      </c>
      <c r="D83" s="373">
        <v>23059.697999999997</v>
      </c>
      <c r="E83" s="373">
        <v>26076.799999999999</v>
      </c>
    </row>
    <row r="84" spans="1:5" ht="14.25">
      <c r="A84" s="321" t="s">
        <v>81</v>
      </c>
      <c r="B84" s="373">
        <v>173.50199999999998</v>
      </c>
      <c r="C84" s="373">
        <v>98.091999999999999</v>
      </c>
      <c r="D84" s="373">
        <v>2100.7439999999997</v>
      </c>
      <c r="E84" s="373">
        <v>2305.8420000000001</v>
      </c>
    </row>
    <row r="85" spans="1:5" ht="14.25">
      <c r="A85" s="321" t="s">
        <v>67</v>
      </c>
      <c r="B85" s="373">
        <v>1766.68</v>
      </c>
      <c r="C85" s="373">
        <v>2154.2849999999999</v>
      </c>
      <c r="D85" s="373">
        <v>15756.195</v>
      </c>
      <c r="E85" s="373">
        <v>19090.805</v>
      </c>
    </row>
    <row r="86" spans="1:5" ht="14.25">
      <c r="A86" s="321" t="s">
        <v>82</v>
      </c>
      <c r="B86" s="373">
        <v>163.35</v>
      </c>
      <c r="C86" s="373">
        <v>61.05</v>
      </c>
      <c r="D86" s="373">
        <v>1320.345</v>
      </c>
      <c r="E86" s="373">
        <v>1503.684</v>
      </c>
    </row>
    <row r="87" spans="1:5" ht="14.25">
      <c r="A87" s="321" t="s">
        <v>83</v>
      </c>
      <c r="B87" s="373">
        <v>385.3</v>
      </c>
      <c r="C87" s="373">
        <v>441.98</v>
      </c>
      <c r="D87" s="373">
        <v>4434.8919999999998</v>
      </c>
      <c r="E87" s="373">
        <v>5083.7280000000001</v>
      </c>
    </row>
    <row r="88" spans="1:5" ht="14.25">
      <c r="A88" s="321" t="s">
        <v>68</v>
      </c>
      <c r="B88" s="373">
        <v>687.39</v>
      </c>
      <c r="C88" s="373">
        <v>446.20000000000005</v>
      </c>
      <c r="D88" s="373">
        <v>6793.2000000000007</v>
      </c>
      <c r="E88" s="373">
        <v>7597.7560000000003</v>
      </c>
    </row>
    <row r="89" spans="1:5" ht="14.25">
      <c r="A89" s="321" t="s">
        <v>84</v>
      </c>
      <c r="B89" s="373">
        <v>134.078</v>
      </c>
      <c r="C89" s="373">
        <v>71.630999999999986</v>
      </c>
      <c r="D89" s="373">
        <v>1328.6699999999998</v>
      </c>
      <c r="E89" s="373">
        <v>1479.4780000000001</v>
      </c>
    </row>
    <row r="90" spans="1:5" ht="14.25">
      <c r="A90" s="321" t="s">
        <v>85</v>
      </c>
      <c r="B90" s="373">
        <v>1627.8500000000001</v>
      </c>
      <c r="C90" s="373">
        <v>2625.6179999999999</v>
      </c>
      <c r="D90" s="373">
        <v>17953.464</v>
      </c>
      <c r="E90" s="373">
        <v>21430.512000000002</v>
      </c>
    </row>
    <row r="91" spans="1:5" ht="14.25">
      <c r="A91" s="321" t="s">
        <v>86</v>
      </c>
      <c r="B91" s="373">
        <v>63.558</v>
      </c>
      <c r="C91" s="373">
        <v>28.726000000000003</v>
      </c>
      <c r="D91" s="373">
        <v>670.45400000000006</v>
      </c>
      <c r="E91" s="373">
        <v>728.17200000000003</v>
      </c>
    </row>
    <row r="92" spans="1:5" ht="14.25">
      <c r="A92" s="321" t="s">
        <v>87</v>
      </c>
      <c r="B92" s="373">
        <v>121.05600000000001</v>
      </c>
      <c r="C92" s="373">
        <v>65.674999999999997</v>
      </c>
      <c r="D92" s="373">
        <v>1243.0149999999999</v>
      </c>
      <c r="E92" s="373">
        <v>1400.8979999999999</v>
      </c>
    </row>
    <row r="93" spans="1:5" ht="14.25">
      <c r="A93" s="203"/>
      <c r="B93" s="375"/>
      <c r="C93" s="375"/>
      <c r="D93" s="375"/>
      <c r="E93" s="375"/>
    </row>
    <row r="94" spans="1:5" ht="14.25">
      <c r="A94" s="368" t="s">
        <v>428</v>
      </c>
      <c r="B94" s="369">
        <v>10901.285000000002</v>
      </c>
      <c r="C94" s="369">
        <v>9190.6869999999999</v>
      </c>
      <c r="D94" s="369">
        <v>122437.94900000004</v>
      </c>
      <c r="E94" s="369">
        <v>138416.149</v>
      </c>
    </row>
    <row r="95" spans="1:5" ht="14.25">
      <c r="A95" s="320" t="s">
        <v>118</v>
      </c>
      <c r="B95" s="371">
        <v>376.80500000000001</v>
      </c>
      <c r="C95" s="371">
        <v>268.86199999999997</v>
      </c>
      <c r="D95" s="371">
        <v>4465.6139999999996</v>
      </c>
      <c r="E95" s="371">
        <v>4906.8180000000002</v>
      </c>
    </row>
    <row r="96" spans="1:5" ht="14.25">
      <c r="A96" s="321" t="s">
        <v>119</v>
      </c>
      <c r="B96" s="373">
        <v>175.13399999999999</v>
      </c>
      <c r="C96" s="373">
        <v>92.72</v>
      </c>
      <c r="D96" s="373">
        <v>1477.9079999999999</v>
      </c>
      <c r="E96" s="373">
        <v>1712.34</v>
      </c>
    </row>
    <row r="97" spans="1:5" ht="14.25">
      <c r="A97" s="321" t="s">
        <v>120</v>
      </c>
      <c r="B97" s="373">
        <v>340.00200000000001</v>
      </c>
      <c r="C97" s="373">
        <v>209.50799999999998</v>
      </c>
      <c r="D97" s="373">
        <v>3551.4449999999997</v>
      </c>
      <c r="E97" s="373">
        <v>4005.1440000000002</v>
      </c>
    </row>
    <row r="98" spans="1:5" ht="14.25">
      <c r="A98" s="321" t="s">
        <v>121</v>
      </c>
      <c r="B98" s="373">
        <v>197.125</v>
      </c>
      <c r="C98" s="373">
        <v>154.10499999999999</v>
      </c>
      <c r="D98" s="373">
        <v>2634.73</v>
      </c>
      <c r="E98" s="373">
        <v>2847.9059999999999</v>
      </c>
    </row>
    <row r="99" spans="1:5" ht="14.25">
      <c r="A99" s="321" t="s">
        <v>122</v>
      </c>
      <c r="B99" s="373">
        <v>2273.13</v>
      </c>
      <c r="C99" s="373">
        <v>1526.3730000000003</v>
      </c>
      <c r="D99" s="373">
        <v>27255.704000000002</v>
      </c>
      <c r="E99" s="373">
        <v>30166.799999999999</v>
      </c>
    </row>
    <row r="100" spans="1:5" ht="14.25">
      <c r="A100" s="321" t="s">
        <v>123</v>
      </c>
      <c r="B100" s="373">
        <v>678.63300000000004</v>
      </c>
      <c r="C100" s="373">
        <v>701.29599999999994</v>
      </c>
      <c r="D100" s="373">
        <v>9985.1999999999989</v>
      </c>
      <c r="E100" s="373">
        <v>11023.990000000002</v>
      </c>
    </row>
    <row r="101" spans="1:5" ht="14.25">
      <c r="A101" s="321" t="s">
        <v>124</v>
      </c>
      <c r="B101" s="373">
        <v>322.322</v>
      </c>
      <c r="C101" s="373">
        <v>190.21</v>
      </c>
      <c r="D101" s="373">
        <v>3248.75</v>
      </c>
      <c r="E101" s="373">
        <v>3674.4960000000001</v>
      </c>
    </row>
    <row r="102" spans="1:5" ht="14.25">
      <c r="A102" s="321" t="s">
        <v>125</v>
      </c>
      <c r="B102" s="373">
        <v>146.23699999999999</v>
      </c>
      <c r="C102" s="373">
        <v>74.927999999999997</v>
      </c>
      <c r="D102" s="373">
        <v>1228.0609999999999</v>
      </c>
      <c r="E102" s="373">
        <v>1415.5</v>
      </c>
    </row>
    <row r="103" spans="1:5" ht="14.25">
      <c r="A103" s="321" t="s">
        <v>126</v>
      </c>
      <c r="B103" s="373">
        <v>115.27200000000002</v>
      </c>
      <c r="C103" s="373">
        <v>73.943999999999988</v>
      </c>
      <c r="D103" s="373">
        <v>1099.8</v>
      </c>
      <c r="E103" s="373">
        <v>1257.23</v>
      </c>
    </row>
    <row r="104" spans="1:5" ht="14.25">
      <c r="A104" s="321" t="s">
        <v>127</v>
      </c>
      <c r="B104" s="373">
        <v>514.745</v>
      </c>
      <c r="C104" s="373">
        <v>346.28800000000001</v>
      </c>
      <c r="D104" s="373">
        <v>6009.2560000000003</v>
      </c>
      <c r="E104" s="373">
        <v>6716.7</v>
      </c>
    </row>
    <row r="105" spans="1:5" ht="14.25">
      <c r="A105" s="321" t="s">
        <v>128</v>
      </c>
      <c r="B105" s="373">
        <v>1199.616</v>
      </c>
      <c r="C105" s="373">
        <v>688.65499999999997</v>
      </c>
      <c r="D105" s="373">
        <v>12323.475999999999</v>
      </c>
      <c r="E105" s="373">
        <v>13851.513000000001</v>
      </c>
    </row>
    <row r="106" spans="1:5" ht="14.25">
      <c r="A106" s="321" t="s">
        <v>129</v>
      </c>
      <c r="B106" s="373">
        <v>497.90700000000004</v>
      </c>
      <c r="C106" s="373">
        <v>929.94899999999996</v>
      </c>
      <c r="D106" s="373">
        <v>5385.6260000000002</v>
      </c>
      <c r="E106" s="373">
        <v>6579.5439999999999</v>
      </c>
    </row>
    <row r="107" spans="1:5" ht="14.25">
      <c r="A107" s="321" t="s">
        <v>130</v>
      </c>
      <c r="B107" s="373">
        <v>531.36</v>
      </c>
      <c r="C107" s="373">
        <v>287.01400000000001</v>
      </c>
      <c r="D107" s="373">
        <v>4409.4439999999995</v>
      </c>
      <c r="E107" s="373">
        <v>5106.192</v>
      </c>
    </row>
    <row r="108" spans="1:5" ht="14.25">
      <c r="A108" s="321" t="s">
        <v>131</v>
      </c>
      <c r="B108" s="373">
        <v>189.95199999999997</v>
      </c>
      <c r="C108" s="373">
        <v>230.69499999999999</v>
      </c>
      <c r="D108" s="373">
        <v>2222.59</v>
      </c>
      <c r="E108" s="373">
        <v>2531.2559999999999</v>
      </c>
    </row>
    <row r="109" spans="1:5" ht="14.25">
      <c r="A109" s="321" t="s">
        <v>132</v>
      </c>
      <c r="B109" s="373">
        <v>420.02499999999998</v>
      </c>
      <c r="C109" s="373">
        <v>297.387</v>
      </c>
      <c r="D109" s="373">
        <v>4924.7439999999997</v>
      </c>
      <c r="E109" s="373">
        <v>5466.23</v>
      </c>
    </row>
    <row r="110" spans="1:5" ht="14.25" customHeight="1">
      <c r="A110" s="321" t="s">
        <v>133</v>
      </c>
      <c r="B110" s="373">
        <v>163.68100000000001</v>
      </c>
      <c r="C110" s="373">
        <v>73.92</v>
      </c>
      <c r="D110" s="373">
        <v>1717.248</v>
      </c>
      <c r="E110" s="373">
        <v>1895.2920000000001</v>
      </c>
    </row>
    <row r="111" spans="1:5" ht="14.25" customHeight="1">
      <c r="A111" s="321" t="s">
        <v>134</v>
      </c>
      <c r="B111" s="373">
        <v>267.08000000000004</v>
      </c>
      <c r="C111" s="373">
        <v>123.39400000000001</v>
      </c>
      <c r="D111" s="373">
        <v>2255.7000000000003</v>
      </c>
      <c r="E111" s="373">
        <v>2581.3679999999999</v>
      </c>
    </row>
    <row r="112" spans="1:5" ht="14.25">
      <c r="A112" s="321" t="s">
        <v>135</v>
      </c>
      <c r="B112" s="373">
        <v>647.78400000000011</v>
      </c>
      <c r="C112" s="373">
        <v>453.12</v>
      </c>
      <c r="D112" s="373">
        <v>7172.7359999999999</v>
      </c>
      <c r="E112" s="373">
        <v>8015.67</v>
      </c>
    </row>
    <row r="113" spans="1:8" ht="14.25">
      <c r="A113" s="321" t="s">
        <v>136</v>
      </c>
      <c r="B113" s="373">
        <v>252.82199999999997</v>
      </c>
      <c r="C113" s="373">
        <v>130.29499999999999</v>
      </c>
      <c r="D113" s="373">
        <v>2088.2620000000002</v>
      </c>
      <c r="E113" s="373">
        <v>2416.7249999999999</v>
      </c>
    </row>
    <row r="114" spans="1:8" ht="14.25">
      <c r="A114" s="321" t="s">
        <v>137</v>
      </c>
      <c r="B114" s="373">
        <v>314.75400000000002</v>
      </c>
      <c r="C114" s="373">
        <v>261.51199999999994</v>
      </c>
      <c r="D114" s="373">
        <v>3265.7959999999998</v>
      </c>
      <c r="E114" s="373">
        <v>3763.9639999999995</v>
      </c>
    </row>
    <row r="115" spans="1:8" ht="14.25">
      <c r="A115" s="321" t="s">
        <v>138</v>
      </c>
      <c r="B115" s="373">
        <v>359.04599999999999</v>
      </c>
      <c r="C115" s="373">
        <v>1422.1719999999998</v>
      </c>
      <c r="D115" s="373">
        <v>4995.4709999999995</v>
      </c>
      <c r="E115" s="373">
        <v>6558.6200000000008</v>
      </c>
    </row>
    <row r="116" spans="1:8" ht="14.25">
      <c r="A116" s="321" t="s">
        <v>139</v>
      </c>
      <c r="B116" s="373">
        <v>718.27199999999993</v>
      </c>
      <c r="C116" s="373">
        <v>546.97500000000002</v>
      </c>
      <c r="D116" s="373">
        <v>8798.85</v>
      </c>
      <c r="E116" s="373">
        <v>9759.7010000000009</v>
      </c>
    </row>
    <row r="117" spans="1:8" ht="14.25">
      <c r="A117" s="321" t="s">
        <v>140</v>
      </c>
      <c r="B117" s="373">
        <v>199.58099999999999</v>
      </c>
      <c r="C117" s="373">
        <v>107.36499999999999</v>
      </c>
      <c r="D117" s="373">
        <v>1921.5379999999998</v>
      </c>
      <c r="E117" s="373">
        <v>2163.15</v>
      </c>
    </row>
    <row r="118" spans="1:8" ht="14.25">
      <c r="A118" s="203"/>
      <c r="B118" s="375"/>
      <c r="C118" s="375"/>
      <c r="D118" s="375"/>
      <c r="E118" s="375"/>
    </row>
    <row r="119" spans="1:8" ht="14.25">
      <c r="A119" s="374" t="s">
        <v>228</v>
      </c>
      <c r="B119" s="375">
        <v>107892.69299999998</v>
      </c>
      <c r="C119" s="375">
        <v>81651.627999999982</v>
      </c>
      <c r="D119" s="375">
        <v>1105491.2709999995</v>
      </c>
      <c r="E119" s="375">
        <v>1248532.2829999998</v>
      </c>
    </row>
    <row r="120" spans="1:8" ht="14.25">
      <c r="A120" s="318"/>
      <c r="B120" s="318"/>
      <c r="C120" s="318"/>
      <c r="D120" s="318"/>
      <c r="E120" s="318"/>
    </row>
    <row r="121" spans="1:8" ht="30" customHeight="1">
      <c r="A121" s="447" t="s">
        <v>424</v>
      </c>
      <c r="B121" s="447"/>
      <c r="C121" s="447"/>
      <c r="D121" s="447"/>
      <c r="E121" s="447"/>
    </row>
    <row r="122" spans="1:8" ht="30" customHeight="1">
      <c r="A122" s="447" t="s">
        <v>425</v>
      </c>
      <c r="B122" s="447"/>
      <c r="C122" s="447"/>
      <c r="D122" s="447"/>
      <c r="E122" s="447"/>
      <c r="F122" s="162"/>
      <c r="G122" s="162"/>
      <c r="H122" s="162"/>
    </row>
    <row r="123" spans="1:8" ht="50.1" customHeight="1">
      <c r="A123" s="447" t="s">
        <v>426</v>
      </c>
      <c r="B123" s="447"/>
      <c r="C123" s="447"/>
      <c r="D123" s="447"/>
      <c r="E123" s="447"/>
      <c r="F123" s="162"/>
      <c r="G123" s="162"/>
      <c r="H123" s="162"/>
    </row>
  </sheetData>
  <sheetProtection sheet="1" objects="1" scenarios="1" pivotTables="0"/>
  <mergeCells count="3">
    <mergeCell ref="A121:E121"/>
    <mergeCell ref="A122:E122"/>
    <mergeCell ref="A123:E123"/>
  </mergeCells>
  <printOptions horizontalCentered="1"/>
  <pageMargins left="0.3" right="0.3" top="0.5" bottom="0.5" header="0.3" footer="0.3"/>
  <pageSetup scale="75" fitToHeight="2" orientation="portrait" r:id="rId2"/>
  <headerFooter>
    <oddFooter>&amp;LNC DHHS DMH/DD/SAS QM Section - MSchwartz&amp;R&amp;F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111"/>
  <sheetViews>
    <sheetView showGridLines="0" zoomScale="80" zoomScaleNormal="80" workbookViewId="0">
      <pane xSplit="1" ySplit="5" topLeftCell="B6" activePane="bottomRight" state="frozen"/>
      <selection activeCell="A3" sqref="A3:S3"/>
      <selection pane="topRight" activeCell="A3" sqref="A3:S3"/>
      <selection pane="bottomLeft" activeCell="A3" sqref="A3:S3"/>
      <selection pane="bottomRight" activeCell="B6" sqref="B6"/>
    </sheetView>
  </sheetViews>
  <sheetFormatPr defaultRowHeight="14.25"/>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8">
      <c r="A2" s="160" t="s">
        <v>429</v>
      </c>
      <c r="B2" s="161"/>
      <c r="C2" s="161"/>
      <c r="D2" s="161"/>
      <c r="E2" s="161"/>
      <c r="F2" s="161"/>
      <c r="G2" s="161"/>
      <c r="H2" s="161"/>
      <c r="I2" s="161"/>
      <c r="J2" s="161"/>
      <c r="K2" s="161"/>
      <c r="L2" s="161"/>
      <c r="M2" s="161"/>
      <c r="N2" s="161"/>
      <c r="O2" s="161"/>
      <c r="P2" s="160"/>
      <c r="Q2" s="160"/>
      <c r="R2" s="160"/>
      <c r="S2" s="161"/>
    </row>
    <row r="3" spans="1:21" s="316" customFormat="1" ht="24.95" customHeight="1" thickBot="1">
      <c r="A3" s="315">
        <v>1</v>
      </c>
      <c r="B3" s="315">
        <v>2</v>
      </c>
      <c r="C3" s="315">
        <v>3</v>
      </c>
      <c r="D3" s="315">
        <v>4</v>
      </c>
      <c r="E3" s="315">
        <v>5</v>
      </c>
      <c r="F3" s="315">
        <v>6</v>
      </c>
      <c r="G3" s="315">
        <v>7</v>
      </c>
      <c r="H3" s="315">
        <v>8</v>
      </c>
      <c r="I3" s="315">
        <v>9</v>
      </c>
      <c r="J3" s="315">
        <v>10</v>
      </c>
      <c r="K3" s="315">
        <v>11</v>
      </c>
      <c r="L3" s="315">
        <v>12</v>
      </c>
      <c r="M3" s="315">
        <v>13</v>
      </c>
      <c r="N3" s="315">
        <v>14</v>
      </c>
      <c r="O3" s="315">
        <v>15</v>
      </c>
      <c r="P3" s="315">
        <v>16</v>
      </c>
      <c r="Q3" s="315">
        <v>17</v>
      </c>
      <c r="R3" s="349">
        <v>18</v>
      </c>
      <c r="S3" s="315">
        <v>19</v>
      </c>
    </row>
    <row r="4" spans="1:21" ht="20.100000000000001" customHeight="1" thickTop="1">
      <c r="B4" s="161"/>
      <c r="C4" s="161"/>
      <c r="D4" s="164" t="s">
        <v>430</v>
      </c>
      <c r="E4" s="165"/>
      <c r="F4" s="166"/>
      <c r="G4" s="166"/>
      <c r="H4" s="166"/>
      <c r="I4" s="166"/>
      <c r="J4" s="167"/>
      <c r="K4" s="317" t="s">
        <v>431</v>
      </c>
      <c r="L4" s="166"/>
      <c r="M4" s="167"/>
      <c r="N4" s="168" t="s">
        <v>432</v>
      </c>
      <c r="O4" s="169"/>
      <c r="P4" s="169"/>
      <c r="Q4" s="169"/>
      <c r="R4" s="169"/>
      <c r="S4" s="170"/>
    </row>
    <row r="5" spans="1:21" ht="71.25" customHeight="1" thickBot="1">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5" customHeight="1" thickTop="1">
      <c r="A6" s="181" t="s">
        <v>45</v>
      </c>
      <c r="B6" s="182" t="s">
        <v>14</v>
      </c>
      <c r="C6" s="183" t="s">
        <v>221</v>
      </c>
      <c r="D6" s="184">
        <v>161309</v>
      </c>
      <c r="E6" s="184">
        <v>5448</v>
      </c>
      <c r="F6" s="184">
        <v>30121</v>
      </c>
      <c r="G6" s="184">
        <v>8181</v>
      </c>
      <c r="H6" s="184">
        <v>90585</v>
      </c>
      <c r="I6" s="184">
        <v>26974</v>
      </c>
      <c r="J6" s="184">
        <f t="shared" ref="J6:J69" si="0">SUM(F6:H6)</f>
        <v>128887</v>
      </c>
      <c r="K6" s="327">
        <v>4.4999999999999998E-2</v>
      </c>
      <c r="L6" s="327">
        <v>0.17899999999999999</v>
      </c>
      <c r="M6" s="328">
        <v>0.14099999999999999</v>
      </c>
      <c r="N6" s="185">
        <f>E6*K6</f>
        <v>245.16</v>
      </c>
      <c r="O6" s="186">
        <f>F6*K6</f>
        <v>1355.4449999999999</v>
      </c>
      <c r="P6" s="186">
        <f>G6*L6</f>
        <v>1464.3989999999999</v>
      </c>
      <c r="Q6" s="186">
        <f>H6*L6</f>
        <v>16214.715</v>
      </c>
      <c r="R6" s="186">
        <f>SUM(P6:Q6)</f>
        <v>17679.114000000001</v>
      </c>
      <c r="S6" s="186">
        <f>J6*M6</f>
        <v>18173.066999999999</v>
      </c>
      <c r="U6" s="350"/>
    </row>
    <row r="7" spans="1:21" ht="24.95" customHeight="1">
      <c r="A7" s="187" t="s">
        <v>118</v>
      </c>
      <c r="B7" s="188" t="s">
        <v>428</v>
      </c>
      <c r="C7" s="189" t="s">
        <v>221</v>
      </c>
      <c r="D7" s="190">
        <v>38151</v>
      </c>
      <c r="E7" s="190">
        <v>1092</v>
      </c>
      <c r="F7" s="190">
        <v>6605</v>
      </c>
      <c r="G7" s="190">
        <v>1301</v>
      </c>
      <c r="H7" s="190">
        <v>21761</v>
      </c>
      <c r="I7" s="190">
        <v>7392</v>
      </c>
      <c r="J7" s="190">
        <f t="shared" si="0"/>
        <v>29667</v>
      </c>
      <c r="K7" s="329">
        <v>4.7E-2</v>
      </c>
      <c r="L7" s="329">
        <v>0.14300000000000002</v>
      </c>
      <c r="M7" s="330">
        <v>0.11699999999999999</v>
      </c>
      <c r="N7" s="191">
        <f t="shared" ref="N7:N70" si="1">E7*K7</f>
        <v>51.323999999999998</v>
      </c>
      <c r="O7" s="192">
        <f t="shared" ref="O7:P70" si="2">F7*K7</f>
        <v>310.435</v>
      </c>
      <c r="P7" s="192">
        <f t="shared" si="2"/>
        <v>186.04300000000003</v>
      </c>
      <c r="Q7" s="192">
        <f t="shared" ref="Q7:Q70" si="3">H7*L7</f>
        <v>3111.8230000000003</v>
      </c>
      <c r="R7" s="192">
        <f t="shared" ref="R7:R70" si="4">SUM(P7:Q7)</f>
        <v>3297.8660000000004</v>
      </c>
      <c r="S7" s="192">
        <f t="shared" ref="S7:S70" si="5">J7*M7</f>
        <v>3471.0389999999998</v>
      </c>
      <c r="U7" s="350"/>
    </row>
    <row r="8" spans="1:21" ht="24.95" customHeight="1">
      <c r="A8" s="187" t="s">
        <v>119</v>
      </c>
      <c r="B8" s="188" t="s">
        <v>428</v>
      </c>
      <c r="C8" s="189" t="s">
        <v>222</v>
      </c>
      <c r="D8" s="190">
        <v>11321</v>
      </c>
      <c r="E8" s="190">
        <v>302</v>
      </c>
      <c r="F8" s="190">
        <v>1698</v>
      </c>
      <c r="G8" s="190">
        <v>378</v>
      </c>
      <c r="H8" s="190">
        <v>6105</v>
      </c>
      <c r="I8" s="190">
        <v>2838</v>
      </c>
      <c r="J8" s="190">
        <f t="shared" si="0"/>
        <v>8181</v>
      </c>
      <c r="K8" s="329">
        <v>8.5000000000000006E-2</v>
      </c>
      <c r="L8" s="329">
        <v>0.21299999999999999</v>
      </c>
      <c r="M8" s="330">
        <v>0.182</v>
      </c>
      <c r="N8" s="191">
        <f t="shared" si="1"/>
        <v>25.67</v>
      </c>
      <c r="O8" s="192">
        <f t="shared" si="2"/>
        <v>144.33000000000001</v>
      </c>
      <c r="P8" s="192">
        <f t="shared" si="2"/>
        <v>80.513999999999996</v>
      </c>
      <c r="Q8" s="192">
        <f t="shared" si="3"/>
        <v>1300.365</v>
      </c>
      <c r="R8" s="192">
        <f t="shared" si="4"/>
        <v>1380.8789999999999</v>
      </c>
      <c r="S8" s="192">
        <f t="shared" si="5"/>
        <v>1488.942</v>
      </c>
      <c r="U8" s="350"/>
    </row>
    <row r="9" spans="1:21" ht="24.95" customHeight="1">
      <c r="A9" s="187" t="s">
        <v>109</v>
      </c>
      <c r="B9" s="188" t="s">
        <v>17</v>
      </c>
      <c r="C9" s="189" t="s">
        <v>222</v>
      </c>
      <c r="D9" s="190">
        <v>26156</v>
      </c>
      <c r="E9" s="190">
        <v>742</v>
      </c>
      <c r="F9" s="190">
        <v>4543</v>
      </c>
      <c r="G9" s="190">
        <v>916</v>
      </c>
      <c r="H9" s="190">
        <v>15506</v>
      </c>
      <c r="I9" s="190">
        <v>4449</v>
      </c>
      <c r="J9" s="190">
        <f t="shared" si="0"/>
        <v>20965</v>
      </c>
      <c r="K9" s="329">
        <v>4.4999999999999998E-2</v>
      </c>
      <c r="L9" s="329">
        <v>0.17</v>
      </c>
      <c r="M9" s="330">
        <v>0.13699999999999998</v>
      </c>
      <c r="N9" s="191">
        <f t="shared" si="1"/>
        <v>33.39</v>
      </c>
      <c r="O9" s="192">
        <f t="shared" si="2"/>
        <v>204.435</v>
      </c>
      <c r="P9" s="192">
        <f t="shared" si="2"/>
        <v>155.72</v>
      </c>
      <c r="Q9" s="192">
        <f t="shared" si="3"/>
        <v>2636.02</v>
      </c>
      <c r="R9" s="192">
        <f t="shared" si="4"/>
        <v>2791.74</v>
      </c>
      <c r="S9" s="192">
        <f t="shared" si="5"/>
        <v>2872.2049999999995</v>
      </c>
      <c r="U9" s="350"/>
    </row>
    <row r="10" spans="1:21" ht="24.95" customHeight="1">
      <c r="A10" s="187" t="s">
        <v>120</v>
      </c>
      <c r="B10" s="188" t="s">
        <v>428</v>
      </c>
      <c r="C10" s="189" t="s">
        <v>222</v>
      </c>
      <c r="D10" s="190">
        <v>27255</v>
      </c>
      <c r="E10" s="190">
        <v>696</v>
      </c>
      <c r="F10" s="190">
        <v>4253</v>
      </c>
      <c r="G10" s="190">
        <v>902</v>
      </c>
      <c r="H10" s="190">
        <v>14739</v>
      </c>
      <c r="I10" s="190">
        <v>6665</v>
      </c>
      <c r="J10" s="190">
        <f t="shared" si="0"/>
        <v>19894</v>
      </c>
      <c r="K10" s="329">
        <v>6.7000000000000004E-2</v>
      </c>
      <c r="L10" s="329">
        <v>0.20699999999999999</v>
      </c>
      <c r="M10" s="330">
        <v>0.17300000000000001</v>
      </c>
      <c r="N10" s="191">
        <f t="shared" si="1"/>
        <v>46.632000000000005</v>
      </c>
      <c r="O10" s="192">
        <f t="shared" si="2"/>
        <v>284.95100000000002</v>
      </c>
      <c r="P10" s="192">
        <f t="shared" si="2"/>
        <v>186.714</v>
      </c>
      <c r="Q10" s="192">
        <f t="shared" si="3"/>
        <v>3050.973</v>
      </c>
      <c r="R10" s="192">
        <f t="shared" si="4"/>
        <v>3237.6869999999999</v>
      </c>
      <c r="S10" s="192">
        <f t="shared" si="5"/>
        <v>3441.6620000000003</v>
      </c>
      <c r="U10" s="350"/>
    </row>
    <row r="11" spans="1:21" ht="24.95" customHeight="1">
      <c r="A11" s="187" t="s">
        <v>121</v>
      </c>
      <c r="B11" s="188" t="s">
        <v>428</v>
      </c>
      <c r="C11" s="189" t="s">
        <v>222</v>
      </c>
      <c r="D11" s="190">
        <v>17855</v>
      </c>
      <c r="E11" s="190">
        <v>425</v>
      </c>
      <c r="F11" s="190">
        <v>2349</v>
      </c>
      <c r="G11" s="190">
        <v>618</v>
      </c>
      <c r="H11" s="190">
        <v>10676</v>
      </c>
      <c r="I11" s="190">
        <v>3787</v>
      </c>
      <c r="J11" s="190">
        <f t="shared" si="0"/>
        <v>13643</v>
      </c>
      <c r="K11" s="329">
        <v>7.9000000000000001E-2</v>
      </c>
      <c r="L11" s="329">
        <v>0.20499999999999999</v>
      </c>
      <c r="M11" s="330">
        <v>0.17600000000000002</v>
      </c>
      <c r="N11" s="191">
        <f t="shared" si="1"/>
        <v>33.575000000000003</v>
      </c>
      <c r="O11" s="192">
        <f t="shared" si="2"/>
        <v>185.571</v>
      </c>
      <c r="P11" s="192">
        <f t="shared" si="2"/>
        <v>126.69</v>
      </c>
      <c r="Q11" s="192">
        <f t="shared" si="3"/>
        <v>2188.58</v>
      </c>
      <c r="R11" s="192">
        <f t="shared" si="4"/>
        <v>2315.27</v>
      </c>
      <c r="S11" s="192">
        <f t="shared" si="5"/>
        <v>2401.1680000000001</v>
      </c>
      <c r="U11" s="350"/>
    </row>
    <row r="12" spans="1:21" ht="24.95" customHeight="1">
      <c r="A12" s="187" t="s">
        <v>69</v>
      </c>
      <c r="B12" s="188" t="s">
        <v>381</v>
      </c>
      <c r="C12" s="189" t="s">
        <v>222</v>
      </c>
      <c r="D12" s="190">
        <v>47826</v>
      </c>
      <c r="E12" s="190">
        <v>1441</v>
      </c>
      <c r="F12" s="190">
        <v>8396</v>
      </c>
      <c r="G12" s="190">
        <v>1532</v>
      </c>
      <c r="H12" s="190">
        <v>25151</v>
      </c>
      <c r="I12" s="190">
        <v>11306</v>
      </c>
      <c r="J12" s="190">
        <f t="shared" si="0"/>
        <v>35079</v>
      </c>
      <c r="K12" s="329">
        <v>0.05</v>
      </c>
      <c r="L12" s="329">
        <v>0.16500000000000001</v>
      </c>
      <c r="M12" s="330">
        <v>0.13400000000000001</v>
      </c>
      <c r="N12" s="191">
        <f t="shared" si="1"/>
        <v>72.05</v>
      </c>
      <c r="O12" s="192">
        <f t="shared" si="2"/>
        <v>419.8</v>
      </c>
      <c r="P12" s="192">
        <f t="shared" si="2"/>
        <v>252.78</v>
      </c>
      <c r="Q12" s="192">
        <f t="shared" si="3"/>
        <v>4149.915</v>
      </c>
      <c r="R12" s="192">
        <f t="shared" si="4"/>
        <v>4402.6949999999997</v>
      </c>
      <c r="S12" s="192">
        <f t="shared" si="5"/>
        <v>4700.5860000000002</v>
      </c>
      <c r="U12" s="350"/>
    </row>
    <row r="13" spans="1:21" ht="24.95" customHeight="1">
      <c r="A13" s="193" t="s">
        <v>70</v>
      </c>
      <c r="B13" s="194" t="s">
        <v>381</v>
      </c>
      <c r="C13" s="195" t="s">
        <v>222</v>
      </c>
      <c r="D13" s="190">
        <v>20312</v>
      </c>
      <c r="E13" s="190">
        <v>580</v>
      </c>
      <c r="F13" s="190">
        <v>3293</v>
      </c>
      <c r="G13" s="190">
        <v>718</v>
      </c>
      <c r="H13" s="190">
        <v>11710</v>
      </c>
      <c r="I13" s="190">
        <v>4011</v>
      </c>
      <c r="J13" s="190">
        <f t="shared" si="0"/>
        <v>15721</v>
      </c>
      <c r="K13" s="329">
        <v>4.4000000000000004E-2</v>
      </c>
      <c r="L13" s="329">
        <v>0.153</v>
      </c>
      <c r="M13" s="330">
        <v>0.126</v>
      </c>
      <c r="N13" s="191">
        <f t="shared" si="1"/>
        <v>25.520000000000003</v>
      </c>
      <c r="O13" s="192">
        <f t="shared" si="2"/>
        <v>144.89200000000002</v>
      </c>
      <c r="P13" s="192">
        <f t="shared" si="2"/>
        <v>109.854</v>
      </c>
      <c r="Q13" s="192">
        <f t="shared" si="3"/>
        <v>1791.6299999999999</v>
      </c>
      <c r="R13" s="192">
        <f t="shared" si="4"/>
        <v>1901.4839999999999</v>
      </c>
      <c r="S13" s="192">
        <f t="shared" si="5"/>
        <v>1980.846</v>
      </c>
      <c r="U13" s="350"/>
    </row>
    <row r="14" spans="1:21" ht="24.95" customHeight="1">
      <c r="A14" s="193" t="s">
        <v>88</v>
      </c>
      <c r="B14" s="194" t="s">
        <v>15</v>
      </c>
      <c r="C14" s="195" t="s">
        <v>222</v>
      </c>
      <c r="D14" s="190">
        <v>35012</v>
      </c>
      <c r="E14" s="190">
        <v>1109</v>
      </c>
      <c r="F14" s="190">
        <v>6252</v>
      </c>
      <c r="G14" s="190">
        <v>1293</v>
      </c>
      <c r="H14" s="190">
        <v>19465</v>
      </c>
      <c r="I14" s="190">
        <v>6893</v>
      </c>
      <c r="J14" s="190">
        <f t="shared" si="0"/>
        <v>27010</v>
      </c>
      <c r="K14" s="329">
        <v>0.06</v>
      </c>
      <c r="L14" s="329">
        <v>0.20399999999999999</v>
      </c>
      <c r="M14" s="330">
        <v>0.16600000000000001</v>
      </c>
      <c r="N14" s="191">
        <f t="shared" si="1"/>
        <v>66.539999999999992</v>
      </c>
      <c r="O14" s="192">
        <f t="shared" si="2"/>
        <v>375.12</v>
      </c>
      <c r="P14" s="192">
        <f t="shared" si="2"/>
        <v>263.77199999999999</v>
      </c>
      <c r="Q14" s="192">
        <f t="shared" si="3"/>
        <v>3970.8599999999997</v>
      </c>
      <c r="R14" s="192">
        <f t="shared" si="4"/>
        <v>4234.6319999999996</v>
      </c>
      <c r="S14" s="192">
        <f t="shared" si="5"/>
        <v>4483.66</v>
      </c>
      <c r="U14" s="350"/>
    </row>
    <row r="15" spans="1:21" ht="24.95" customHeight="1">
      <c r="A15" s="193" t="s">
        <v>64</v>
      </c>
      <c r="B15" s="194" t="s">
        <v>381</v>
      </c>
      <c r="C15" s="195" t="s">
        <v>221</v>
      </c>
      <c r="D15" s="190">
        <v>128891</v>
      </c>
      <c r="E15" s="190">
        <v>3305</v>
      </c>
      <c r="F15" s="190">
        <v>18729</v>
      </c>
      <c r="G15" s="190">
        <v>3319</v>
      </c>
      <c r="H15" s="190">
        <v>66122</v>
      </c>
      <c r="I15" s="190">
        <v>37416</v>
      </c>
      <c r="J15" s="190">
        <f t="shared" si="0"/>
        <v>88170</v>
      </c>
      <c r="K15" s="329">
        <v>5.2000000000000005E-2</v>
      </c>
      <c r="L15" s="329">
        <v>0.17600000000000002</v>
      </c>
      <c r="M15" s="330">
        <v>0.14699999999999999</v>
      </c>
      <c r="N15" s="191">
        <f t="shared" si="1"/>
        <v>171.86</v>
      </c>
      <c r="O15" s="192">
        <f t="shared" si="2"/>
        <v>973.90800000000013</v>
      </c>
      <c r="P15" s="192">
        <f t="shared" si="2"/>
        <v>584.14400000000001</v>
      </c>
      <c r="Q15" s="192">
        <f t="shared" si="3"/>
        <v>11637.472000000002</v>
      </c>
      <c r="R15" s="192">
        <f t="shared" si="4"/>
        <v>12221.616000000002</v>
      </c>
      <c r="S15" s="192">
        <f t="shared" si="5"/>
        <v>12960.99</v>
      </c>
      <c r="U15" s="350"/>
    </row>
    <row r="16" spans="1:21" ht="24.95" customHeight="1">
      <c r="A16" s="193" t="s">
        <v>122</v>
      </c>
      <c r="B16" s="194" t="s">
        <v>428</v>
      </c>
      <c r="C16" s="195" t="s">
        <v>221</v>
      </c>
      <c r="D16" s="190">
        <v>261031</v>
      </c>
      <c r="E16" s="190">
        <v>7949</v>
      </c>
      <c r="F16" s="190">
        <v>42196</v>
      </c>
      <c r="G16" s="190">
        <v>8670</v>
      </c>
      <c r="H16" s="190">
        <v>151812</v>
      </c>
      <c r="I16" s="190">
        <v>50404</v>
      </c>
      <c r="J16" s="190">
        <f t="shared" si="0"/>
        <v>202678</v>
      </c>
      <c r="K16" s="329">
        <v>4.2000000000000003E-2</v>
      </c>
      <c r="L16" s="329">
        <v>0.16399999999999998</v>
      </c>
      <c r="M16" s="330">
        <v>0.13400000000000001</v>
      </c>
      <c r="N16" s="191">
        <f t="shared" si="1"/>
        <v>333.858</v>
      </c>
      <c r="O16" s="192">
        <f t="shared" si="2"/>
        <v>1772.2320000000002</v>
      </c>
      <c r="P16" s="192">
        <f t="shared" si="2"/>
        <v>1421.8799999999999</v>
      </c>
      <c r="Q16" s="192">
        <f t="shared" si="3"/>
        <v>24897.167999999998</v>
      </c>
      <c r="R16" s="192">
        <f t="shared" si="4"/>
        <v>26319.047999999999</v>
      </c>
      <c r="S16" s="192">
        <f t="shared" si="5"/>
        <v>27158.852000000003</v>
      </c>
      <c r="U16" s="350"/>
    </row>
    <row r="17" spans="1:21" ht="24.95" customHeight="1">
      <c r="A17" s="193" t="s">
        <v>101</v>
      </c>
      <c r="B17" s="194" t="s">
        <v>16</v>
      </c>
      <c r="C17" s="195" t="s">
        <v>221</v>
      </c>
      <c r="D17" s="190">
        <v>89416</v>
      </c>
      <c r="E17" s="190">
        <v>2664</v>
      </c>
      <c r="F17" s="190">
        <v>15414</v>
      </c>
      <c r="G17" s="190">
        <v>4277</v>
      </c>
      <c r="H17" s="190">
        <v>49683</v>
      </c>
      <c r="I17" s="190">
        <v>17378</v>
      </c>
      <c r="J17" s="190">
        <f t="shared" si="0"/>
        <v>69374</v>
      </c>
      <c r="K17" s="329">
        <v>4.2999999999999997E-2</v>
      </c>
      <c r="L17" s="329">
        <v>0.19</v>
      </c>
      <c r="M17" s="330">
        <v>0.154</v>
      </c>
      <c r="N17" s="191">
        <f t="shared" si="1"/>
        <v>114.55199999999999</v>
      </c>
      <c r="O17" s="192">
        <f t="shared" si="2"/>
        <v>662.80199999999991</v>
      </c>
      <c r="P17" s="192">
        <f t="shared" si="2"/>
        <v>812.63</v>
      </c>
      <c r="Q17" s="192">
        <f t="shared" si="3"/>
        <v>9439.77</v>
      </c>
      <c r="R17" s="192">
        <f t="shared" si="4"/>
        <v>10252.4</v>
      </c>
      <c r="S17" s="192">
        <f t="shared" si="5"/>
        <v>10683.596</v>
      </c>
      <c r="U17" s="350"/>
    </row>
    <row r="18" spans="1:21" ht="24.95" customHeight="1">
      <c r="A18" s="193" t="s">
        <v>46</v>
      </c>
      <c r="B18" s="194" t="s">
        <v>14</v>
      </c>
      <c r="C18" s="195" t="s">
        <v>221</v>
      </c>
      <c r="D18" s="190">
        <v>205097</v>
      </c>
      <c r="E18" s="190">
        <v>7596</v>
      </c>
      <c r="F18" s="190">
        <v>43710</v>
      </c>
      <c r="G18" s="190">
        <v>8086</v>
      </c>
      <c r="H18" s="190">
        <v>118904</v>
      </c>
      <c r="I18" s="190">
        <v>26801</v>
      </c>
      <c r="J18" s="190">
        <f t="shared" si="0"/>
        <v>170700</v>
      </c>
      <c r="K18" s="329">
        <v>4.5999999999999999E-2</v>
      </c>
      <c r="L18" s="329">
        <v>0.13800000000000001</v>
      </c>
      <c r="M18" s="330">
        <v>0.11</v>
      </c>
      <c r="N18" s="191">
        <f t="shared" si="1"/>
        <v>349.416</v>
      </c>
      <c r="O18" s="192">
        <f t="shared" si="2"/>
        <v>2010.6599999999999</v>
      </c>
      <c r="P18" s="192">
        <f t="shared" si="2"/>
        <v>1115.8680000000002</v>
      </c>
      <c r="Q18" s="192">
        <f t="shared" si="3"/>
        <v>16408.752</v>
      </c>
      <c r="R18" s="192">
        <f t="shared" si="4"/>
        <v>17524.62</v>
      </c>
      <c r="S18" s="192">
        <f t="shared" si="5"/>
        <v>18777</v>
      </c>
      <c r="U18" s="350"/>
    </row>
    <row r="19" spans="1:21" ht="24.95" customHeight="1">
      <c r="A19" s="193" t="s">
        <v>123</v>
      </c>
      <c r="B19" s="194" t="s">
        <v>428</v>
      </c>
      <c r="C19" s="195" t="s">
        <v>221</v>
      </c>
      <c r="D19" s="190">
        <v>82815</v>
      </c>
      <c r="E19" s="190">
        <v>2442</v>
      </c>
      <c r="F19" s="190">
        <v>14220</v>
      </c>
      <c r="G19" s="190">
        <v>3391</v>
      </c>
      <c r="H19" s="190">
        <v>47240</v>
      </c>
      <c r="I19" s="190">
        <v>15522</v>
      </c>
      <c r="J19" s="190">
        <f t="shared" si="0"/>
        <v>64851</v>
      </c>
      <c r="K19" s="329">
        <v>4.4999999999999998E-2</v>
      </c>
      <c r="L19" s="329">
        <v>0.188</v>
      </c>
      <c r="M19" s="330">
        <v>0.151</v>
      </c>
      <c r="N19" s="191">
        <f t="shared" si="1"/>
        <v>109.89</v>
      </c>
      <c r="O19" s="192">
        <f t="shared" si="2"/>
        <v>639.9</v>
      </c>
      <c r="P19" s="192">
        <f t="shared" si="2"/>
        <v>637.50800000000004</v>
      </c>
      <c r="Q19" s="192">
        <f t="shared" si="3"/>
        <v>8881.1200000000008</v>
      </c>
      <c r="R19" s="192">
        <f t="shared" si="4"/>
        <v>9518.6280000000006</v>
      </c>
      <c r="S19" s="192">
        <f t="shared" si="5"/>
        <v>9792.5010000000002</v>
      </c>
      <c r="U19" s="350"/>
    </row>
    <row r="20" spans="1:21" ht="24.95" customHeight="1">
      <c r="A20" s="193" t="s">
        <v>71</v>
      </c>
      <c r="B20" s="194" t="s">
        <v>381</v>
      </c>
      <c r="C20" s="195" t="s">
        <v>222</v>
      </c>
      <c r="D20" s="190">
        <v>10223</v>
      </c>
      <c r="E20" s="190">
        <v>304</v>
      </c>
      <c r="F20" s="190">
        <v>1809</v>
      </c>
      <c r="G20" s="190">
        <v>369</v>
      </c>
      <c r="H20" s="190">
        <v>6081</v>
      </c>
      <c r="I20" s="190">
        <v>1660</v>
      </c>
      <c r="J20" s="190">
        <f t="shared" si="0"/>
        <v>8259</v>
      </c>
      <c r="K20" s="329">
        <v>5.9000000000000004E-2</v>
      </c>
      <c r="L20" s="329">
        <v>0.127</v>
      </c>
      <c r="M20" s="330">
        <v>0.10800000000000001</v>
      </c>
      <c r="N20" s="191">
        <f t="shared" si="1"/>
        <v>17.936</v>
      </c>
      <c r="O20" s="192">
        <f t="shared" si="2"/>
        <v>106.73100000000001</v>
      </c>
      <c r="P20" s="192">
        <f t="shared" si="2"/>
        <v>46.863</v>
      </c>
      <c r="Q20" s="192">
        <f t="shared" si="3"/>
        <v>772.28700000000003</v>
      </c>
      <c r="R20" s="192">
        <f t="shared" si="4"/>
        <v>819.15000000000009</v>
      </c>
      <c r="S20" s="192">
        <f t="shared" si="5"/>
        <v>891.97200000000009</v>
      </c>
      <c r="U20" s="350"/>
    </row>
    <row r="21" spans="1:21" ht="24.95" customHeight="1">
      <c r="A21" s="193" t="s">
        <v>65</v>
      </c>
      <c r="B21" s="194" t="s">
        <v>381</v>
      </c>
      <c r="C21" s="195" t="s">
        <v>222</v>
      </c>
      <c r="D21" s="190">
        <v>70401</v>
      </c>
      <c r="E21" s="190">
        <v>1851</v>
      </c>
      <c r="F21" s="190">
        <v>10468</v>
      </c>
      <c r="G21" s="190">
        <v>2189</v>
      </c>
      <c r="H21" s="190">
        <v>39113</v>
      </c>
      <c r="I21" s="190">
        <v>16780</v>
      </c>
      <c r="J21" s="190">
        <f t="shared" si="0"/>
        <v>51770</v>
      </c>
      <c r="K21" s="329">
        <v>0.05</v>
      </c>
      <c r="L21" s="329">
        <v>0.159</v>
      </c>
      <c r="M21" s="330">
        <v>0.13300000000000001</v>
      </c>
      <c r="N21" s="191">
        <f t="shared" si="1"/>
        <v>92.550000000000011</v>
      </c>
      <c r="O21" s="192">
        <f t="shared" si="2"/>
        <v>523.4</v>
      </c>
      <c r="P21" s="192">
        <f t="shared" si="2"/>
        <v>348.05099999999999</v>
      </c>
      <c r="Q21" s="192">
        <f t="shared" si="3"/>
        <v>6218.9669999999996</v>
      </c>
      <c r="R21" s="192">
        <f t="shared" si="4"/>
        <v>6567.018</v>
      </c>
      <c r="S21" s="192">
        <f t="shared" si="5"/>
        <v>6885.4100000000008</v>
      </c>
      <c r="U21" s="350"/>
    </row>
    <row r="22" spans="1:21" ht="24.95" customHeight="1">
      <c r="A22" s="193" t="s">
        <v>47</v>
      </c>
      <c r="B22" s="194" t="s">
        <v>14</v>
      </c>
      <c r="C22" s="195" t="s">
        <v>222</v>
      </c>
      <c r="D22" s="190">
        <v>23611</v>
      </c>
      <c r="E22" s="190">
        <v>641</v>
      </c>
      <c r="F22" s="190">
        <v>3676</v>
      </c>
      <c r="G22" s="190">
        <v>741</v>
      </c>
      <c r="H22" s="190">
        <v>13856</v>
      </c>
      <c r="I22" s="190">
        <v>4697</v>
      </c>
      <c r="J22" s="190">
        <f t="shared" si="0"/>
        <v>18273</v>
      </c>
      <c r="K22" s="329">
        <v>5.0999999999999997E-2</v>
      </c>
      <c r="L22" s="329">
        <v>0.156</v>
      </c>
      <c r="M22" s="330">
        <v>0.129</v>
      </c>
      <c r="N22" s="191">
        <f t="shared" si="1"/>
        <v>32.690999999999995</v>
      </c>
      <c r="O22" s="192">
        <f t="shared" si="2"/>
        <v>187.476</v>
      </c>
      <c r="P22" s="192">
        <f t="shared" si="2"/>
        <v>115.596</v>
      </c>
      <c r="Q22" s="192">
        <f t="shared" si="3"/>
        <v>2161.5360000000001</v>
      </c>
      <c r="R22" s="192">
        <f t="shared" si="4"/>
        <v>2277.1320000000001</v>
      </c>
      <c r="S22" s="192">
        <f t="shared" si="5"/>
        <v>2357.2170000000001</v>
      </c>
      <c r="U22" s="350"/>
    </row>
    <row r="23" spans="1:21" ht="24.95" customHeight="1">
      <c r="A23" s="193" t="s">
        <v>102</v>
      </c>
      <c r="B23" s="194" t="s">
        <v>16</v>
      </c>
      <c r="C23" s="195" t="s">
        <v>221</v>
      </c>
      <c r="D23" s="190">
        <v>156381</v>
      </c>
      <c r="E23" s="190">
        <v>5312</v>
      </c>
      <c r="F23" s="190">
        <v>29446</v>
      </c>
      <c r="G23" s="190">
        <v>6165</v>
      </c>
      <c r="H23" s="190">
        <v>88745</v>
      </c>
      <c r="I23" s="190">
        <v>26713</v>
      </c>
      <c r="J23" s="190">
        <f t="shared" si="0"/>
        <v>124356</v>
      </c>
      <c r="K23" s="329">
        <v>4.4999999999999998E-2</v>
      </c>
      <c r="L23" s="329">
        <v>0.17600000000000002</v>
      </c>
      <c r="M23" s="330">
        <v>0.13900000000000001</v>
      </c>
      <c r="N23" s="191">
        <f t="shared" si="1"/>
        <v>239.04</v>
      </c>
      <c r="O23" s="192">
        <f t="shared" si="2"/>
        <v>1325.07</v>
      </c>
      <c r="P23" s="192">
        <f t="shared" si="2"/>
        <v>1085.0400000000002</v>
      </c>
      <c r="Q23" s="192">
        <f t="shared" si="3"/>
        <v>15619.12</v>
      </c>
      <c r="R23" s="192">
        <f t="shared" si="4"/>
        <v>16704.16</v>
      </c>
      <c r="S23" s="192">
        <f t="shared" si="5"/>
        <v>17285.484</v>
      </c>
      <c r="U23" s="350"/>
    </row>
    <row r="24" spans="1:21" ht="24.95" customHeight="1">
      <c r="A24" s="193" t="s">
        <v>48</v>
      </c>
      <c r="B24" s="194" t="s">
        <v>14</v>
      </c>
      <c r="C24" s="195" t="s">
        <v>221</v>
      </c>
      <c r="D24" s="190">
        <v>74538</v>
      </c>
      <c r="E24" s="190">
        <v>2020</v>
      </c>
      <c r="F24" s="190">
        <v>12162</v>
      </c>
      <c r="G24" s="190">
        <v>2179</v>
      </c>
      <c r="H24" s="190">
        <v>39747</v>
      </c>
      <c r="I24" s="190">
        <v>18430</v>
      </c>
      <c r="J24" s="190">
        <f t="shared" si="0"/>
        <v>54088</v>
      </c>
      <c r="K24" s="329">
        <v>8.3000000000000004E-2</v>
      </c>
      <c r="L24" s="329">
        <v>0.17600000000000002</v>
      </c>
      <c r="M24" s="330">
        <v>0.151</v>
      </c>
      <c r="N24" s="191">
        <f t="shared" si="1"/>
        <v>167.66</v>
      </c>
      <c r="O24" s="192">
        <f t="shared" si="2"/>
        <v>1009.446</v>
      </c>
      <c r="P24" s="192">
        <f t="shared" si="2"/>
        <v>383.50400000000002</v>
      </c>
      <c r="Q24" s="192">
        <f t="shared" si="3"/>
        <v>6995.4720000000007</v>
      </c>
      <c r="R24" s="192">
        <f t="shared" si="4"/>
        <v>7378.9760000000006</v>
      </c>
      <c r="S24" s="192">
        <f t="shared" si="5"/>
        <v>8167.2879999999996</v>
      </c>
      <c r="U24" s="350"/>
    </row>
    <row r="25" spans="1:21" ht="24.95" customHeight="1">
      <c r="A25" s="193" t="s">
        <v>124</v>
      </c>
      <c r="B25" s="194" t="s">
        <v>428</v>
      </c>
      <c r="C25" s="195" t="s">
        <v>222</v>
      </c>
      <c r="D25" s="190">
        <v>27935</v>
      </c>
      <c r="E25" s="190">
        <v>713</v>
      </c>
      <c r="F25" s="190">
        <v>4155</v>
      </c>
      <c r="G25" s="190">
        <v>819</v>
      </c>
      <c r="H25" s="190">
        <v>14271</v>
      </c>
      <c r="I25" s="190">
        <v>7977</v>
      </c>
      <c r="J25" s="190">
        <f t="shared" si="0"/>
        <v>19245</v>
      </c>
      <c r="K25" s="329">
        <v>5.7000000000000002E-2</v>
      </c>
      <c r="L25" s="329">
        <v>0.18100000000000002</v>
      </c>
      <c r="M25" s="330">
        <v>0.15</v>
      </c>
      <c r="N25" s="191">
        <f t="shared" si="1"/>
        <v>40.640999999999998</v>
      </c>
      <c r="O25" s="192">
        <f t="shared" si="2"/>
        <v>236.83500000000001</v>
      </c>
      <c r="P25" s="192">
        <f t="shared" si="2"/>
        <v>148.239</v>
      </c>
      <c r="Q25" s="192">
        <f t="shared" si="3"/>
        <v>2583.0510000000004</v>
      </c>
      <c r="R25" s="192">
        <f t="shared" si="4"/>
        <v>2731.2900000000004</v>
      </c>
      <c r="S25" s="192">
        <f t="shared" si="5"/>
        <v>2886.75</v>
      </c>
      <c r="U25" s="350"/>
    </row>
    <row r="26" spans="1:21" ht="24.95" customHeight="1">
      <c r="A26" s="193" t="s">
        <v>72</v>
      </c>
      <c r="B26" s="194" t="s">
        <v>381</v>
      </c>
      <c r="C26" s="195" t="s">
        <v>222</v>
      </c>
      <c r="D26" s="190">
        <v>14297</v>
      </c>
      <c r="E26" s="190">
        <v>475</v>
      </c>
      <c r="F26" s="190">
        <v>2510</v>
      </c>
      <c r="G26" s="190">
        <v>474</v>
      </c>
      <c r="H26" s="190">
        <v>7465</v>
      </c>
      <c r="I26" s="190">
        <v>3373</v>
      </c>
      <c r="J26" s="190">
        <f t="shared" si="0"/>
        <v>10449</v>
      </c>
      <c r="K26" s="329">
        <v>0.06</v>
      </c>
      <c r="L26" s="329">
        <v>0.16899999999999998</v>
      </c>
      <c r="M26" s="330">
        <v>0.13900000000000001</v>
      </c>
      <c r="N26" s="191">
        <f t="shared" si="1"/>
        <v>28.5</v>
      </c>
      <c r="O26" s="192">
        <f t="shared" si="2"/>
        <v>150.6</v>
      </c>
      <c r="P26" s="192">
        <f t="shared" si="2"/>
        <v>80.105999999999995</v>
      </c>
      <c r="Q26" s="192">
        <f t="shared" si="3"/>
        <v>1261.5849999999998</v>
      </c>
      <c r="R26" s="192">
        <f t="shared" si="4"/>
        <v>1341.6909999999998</v>
      </c>
      <c r="S26" s="192">
        <f t="shared" si="5"/>
        <v>1452.4110000000001</v>
      </c>
      <c r="U26" s="350"/>
    </row>
    <row r="27" spans="1:21" ht="24.95" customHeight="1">
      <c r="A27" s="193" t="s">
        <v>125</v>
      </c>
      <c r="B27" s="194" t="s">
        <v>428</v>
      </c>
      <c r="C27" s="195" t="s">
        <v>222</v>
      </c>
      <c r="D27" s="190">
        <v>11140</v>
      </c>
      <c r="E27" s="190">
        <v>269</v>
      </c>
      <c r="F27" s="190">
        <v>1649</v>
      </c>
      <c r="G27" s="190">
        <v>320</v>
      </c>
      <c r="H27" s="190">
        <v>5602</v>
      </c>
      <c r="I27" s="190">
        <v>3300</v>
      </c>
      <c r="J27" s="190">
        <f t="shared" si="0"/>
        <v>7571</v>
      </c>
      <c r="K27" s="329">
        <v>7.400000000000001E-2</v>
      </c>
      <c r="L27" s="329">
        <v>0.17699999999999999</v>
      </c>
      <c r="M27" s="330">
        <v>0.151</v>
      </c>
      <c r="N27" s="191">
        <f t="shared" si="1"/>
        <v>19.906000000000002</v>
      </c>
      <c r="O27" s="192">
        <f t="shared" si="2"/>
        <v>122.02600000000001</v>
      </c>
      <c r="P27" s="192">
        <f t="shared" si="2"/>
        <v>56.64</v>
      </c>
      <c r="Q27" s="192">
        <f t="shared" si="3"/>
        <v>991.55399999999997</v>
      </c>
      <c r="R27" s="192">
        <f t="shared" si="4"/>
        <v>1048.194</v>
      </c>
      <c r="S27" s="192">
        <f t="shared" si="5"/>
        <v>1143.221</v>
      </c>
      <c r="U27" s="350"/>
    </row>
    <row r="28" spans="1:21" ht="24.95" customHeight="1">
      <c r="A28" s="193" t="s">
        <v>103</v>
      </c>
      <c r="B28" s="194" t="s">
        <v>16</v>
      </c>
      <c r="C28" s="195" t="s">
        <v>222</v>
      </c>
      <c r="D28" s="190">
        <v>98101</v>
      </c>
      <c r="E28" s="190">
        <v>3248</v>
      </c>
      <c r="F28" s="190">
        <v>17863</v>
      </c>
      <c r="G28" s="190">
        <v>4324</v>
      </c>
      <c r="H28" s="190">
        <v>54974</v>
      </c>
      <c r="I28" s="190">
        <v>17692</v>
      </c>
      <c r="J28" s="190">
        <f t="shared" si="0"/>
        <v>77161</v>
      </c>
      <c r="K28" s="329">
        <v>3.9E-2</v>
      </c>
      <c r="L28" s="329">
        <v>0.16699999999999998</v>
      </c>
      <c r="M28" s="330">
        <v>0.13200000000000001</v>
      </c>
      <c r="N28" s="191">
        <f t="shared" si="1"/>
        <v>126.672</v>
      </c>
      <c r="O28" s="192">
        <f t="shared" si="2"/>
        <v>696.65700000000004</v>
      </c>
      <c r="P28" s="192">
        <f t="shared" si="2"/>
        <v>722.10799999999995</v>
      </c>
      <c r="Q28" s="192">
        <f t="shared" si="3"/>
        <v>9180.6579999999994</v>
      </c>
      <c r="R28" s="192">
        <f t="shared" si="4"/>
        <v>9902.7659999999996</v>
      </c>
      <c r="S28" s="192">
        <f t="shared" si="5"/>
        <v>10185.252</v>
      </c>
      <c r="U28" s="350"/>
    </row>
    <row r="29" spans="1:21" ht="24.95" customHeight="1">
      <c r="A29" s="193" t="s">
        <v>89</v>
      </c>
      <c r="B29" s="194" t="s">
        <v>15</v>
      </c>
      <c r="C29" s="195" t="s">
        <v>222</v>
      </c>
      <c r="D29" s="190">
        <v>57089</v>
      </c>
      <c r="E29" s="190">
        <v>1851</v>
      </c>
      <c r="F29" s="190">
        <v>10377</v>
      </c>
      <c r="G29" s="190">
        <v>2229</v>
      </c>
      <c r="H29" s="190">
        <v>32151</v>
      </c>
      <c r="I29" s="190">
        <v>10481</v>
      </c>
      <c r="J29" s="190">
        <f t="shared" si="0"/>
        <v>44757</v>
      </c>
      <c r="K29" s="329">
        <v>5.7999999999999996E-2</v>
      </c>
      <c r="L29" s="329">
        <v>0.191</v>
      </c>
      <c r="M29" s="330">
        <v>0.153</v>
      </c>
      <c r="N29" s="191">
        <f t="shared" si="1"/>
        <v>107.35799999999999</v>
      </c>
      <c r="O29" s="192">
        <f t="shared" si="2"/>
        <v>601.86599999999999</v>
      </c>
      <c r="P29" s="192">
        <f t="shared" si="2"/>
        <v>425.73900000000003</v>
      </c>
      <c r="Q29" s="192">
        <f t="shared" si="3"/>
        <v>6140.8410000000003</v>
      </c>
      <c r="R29" s="192">
        <f t="shared" si="4"/>
        <v>6566.58</v>
      </c>
      <c r="S29" s="192">
        <f t="shared" si="5"/>
        <v>6847.8209999999999</v>
      </c>
      <c r="U29" s="350"/>
    </row>
    <row r="30" spans="1:21" ht="24.95" customHeight="1">
      <c r="A30" s="193" t="s">
        <v>73</v>
      </c>
      <c r="B30" s="194" t="s">
        <v>381</v>
      </c>
      <c r="C30" s="195" t="s">
        <v>221</v>
      </c>
      <c r="D30" s="190">
        <v>102826</v>
      </c>
      <c r="E30" s="190">
        <v>4424</v>
      </c>
      <c r="F30" s="190">
        <v>21919</v>
      </c>
      <c r="G30" s="190">
        <v>4746</v>
      </c>
      <c r="H30" s="190">
        <v>54410</v>
      </c>
      <c r="I30" s="190">
        <v>17327</v>
      </c>
      <c r="J30" s="190">
        <f t="shared" si="0"/>
        <v>81075</v>
      </c>
      <c r="K30" s="329">
        <v>4.5999999999999999E-2</v>
      </c>
      <c r="L30" s="329">
        <v>0.14599999999999999</v>
      </c>
      <c r="M30" s="330">
        <v>0.11800000000000001</v>
      </c>
      <c r="N30" s="191">
        <f t="shared" si="1"/>
        <v>203.50399999999999</v>
      </c>
      <c r="O30" s="192">
        <f t="shared" si="2"/>
        <v>1008.274</v>
      </c>
      <c r="P30" s="192">
        <f t="shared" si="2"/>
        <v>692.91599999999994</v>
      </c>
      <c r="Q30" s="192">
        <f t="shared" si="3"/>
        <v>7943.86</v>
      </c>
      <c r="R30" s="192">
        <f t="shared" si="4"/>
        <v>8636.7759999999998</v>
      </c>
      <c r="S30" s="192">
        <f t="shared" si="5"/>
        <v>9566.85</v>
      </c>
      <c r="U30" s="350"/>
    </row>
    <row r="31" spans="1:21" ht="24.95" customHeight="1">
      <c r="A31" s="193" t="s">
        <v>41</v>
      </c>
      <c r="B31" s="194" t="s">
        <v>13</v>
      </c>
      <c r="C31" s="195" t="s">
        <v>221</v>
      </c>
      <c r="D31" s="190">
        <v>327021</v>
      </c>
      <c r="E31" s="190">
        <v>16003</v>
      </c>
      <c r="F31" s="190">
        <v>70863</v>
      </c>
      <c r="G31" s="190">
        <v>14982</v>
      </c>
      <c r="H31" s="190">
        <v>185227</v>
      </c>
      <c r="I31" s="190">
        <v>39946</v>
      </c>
      <c r="J31" s="190">
        <f t="shared" si="0"/>
        <v>271072</v>
      </c>
      <c r="K31" s="329">
        <v>3.7000000000000005E-2</v>
      </c>
      <c r="L31" s="329">
        <v>0.13800000000000001</v>
      </c>
      <c r="M31" s="330">
        <v>0.10800000000000001</v>
      </c>
      <c r="N31" s="191">
        <f t="shared" si="1"/>
        <v>592.1110000000001</v>
      </c>
      <c r="O31" s="192">
        <f t="shared" si="2"/>
        <v>2621.9310000000005</v>
      </c>
      <c r="P31" s="192">
        <f t="shared" si="2"/>
        <v>2067.5160000000001</v>
      </c>
      <c r="Q31" s="192">
        <f t="shared" si="3"/>
        <v>25561.326000000001</v>
      </c>
      <c r="R31" s="192">
        <f t="shared" si="4"/>
        <v>27628.842000000001</v>
      </c>
      <c r="S31" s="192">
        <f t="shared" si="5"/>
        <v>29275.776000000002</v>
      </c>
      <c r="U31" s="350"/>
    </row>
    <row r="32" spans="1:21" ht="24.95" customHeight="1">
      <c r="A32" s="193" t="s">
        <v>74</v>
      </c>
      <c r="B32" s="194" t="s">
        <v>381</v>
      </c>
      <c r="C32" s="195" t="s">
        <v>221</v>
      </c>
      <c r="D32" s="190">
        <v>26764</v>
      </c>
      <c r="E32" s="190">
        <v>837</v>
      </c>
      <c r="F32" s="190">
        <v>4773</v>
      </c>
      <c r="G32" s="190">
        <v>940</v>
      </c>
      <c r="H32" s="190">
        <v>16030</v>
      </c>
      <c r="I32" s="190">
        <v>4184</v>
      </c>
      <c r="J32" s="190">
        <f t="shared" si="0"/>
        <v>21743</v>
      </c>
      <c r="K32" s="329">
        <v>5.5E-2</v>
      </c>
      <c r="L32" s="329">
        <v>0.14699999999999999</v>
      </c>
      <c r="M32" s="330">
        <v>0.122</v>
      </c>
      <c r="N32" s="191">
        <f t="shared" si="1"/>
        <v>46.035000000000004</v>
      </c>
      <c r="O32" s="192">
        <f t="shared" si="2"/>
        <v>262.51499999999999</v>
      </c>
      <c r="P32" s="192">
        <f t="shared" si="2"/>
        <v>138.17999999999998</v>
      </c>
      <c r="Q32" s="192">
        <f t="shared" si="3"/>
        <v>2356.41</v>
      </c>
      <c r="R32" s="192">
        <f t="shared" si="4"/>
        <v>2494.5899999999997</v>
      </c>
      <c r="S32" s="192">
        <f t="shared" si="5"/>
        <v>2652.6459999999997</v>
      </c>
      <c r="U32" s="350"/>
    </row>
    <row r="33" spans="1:21" ht="24.95" customHeight="1">
      <c r="A33" s="193" t="s">
        <v>75</v>
      </c>
      <c r="B33" s="194" t="s">
        <v>381</v>
      </c>
      <c r="C33" s="195" t="s">
        <v>222</v>
      </c>
      <c r="D33" s="190">
        <v>36791</v>
      </c>
      <c r="E33" s="190">
        <v>1120</v>
      </c>
      <c r="F33" s="190">
        <v>5869</v>
      </c>
      <c r="G33" s="190">
        <v>904</v>
      </c>
      <c r="H33" s="190">
        <v>21382</v>
      </c>
      <c r="I33" s="190">
        <v>7516</v>
      </c>
      <c r="J33" s="190">
        <f t="shared" si="0"/>
        <v>28155</v>
      </c>
      <c r="K33" s="329">
        <v>6.8000000000000005E-2</v>
      </c>
      <c r="L33" s="329">
        <v>0.17199999999999999</v>
      </c>
      <c r="M33" s="330">
        <v>0.14699999999999999</v>
      </c>
      <c r="N33" s="191">
        <f t="shared" si="1"/>
        <v>76.160000000000011</v>
      </c>
      <c r="O33" s="192">
        <f t="shared" si="2"/>
        <v>399.09200000000004</v>
      </c>
      <c r="P33" s="192">
        <f t="shared" si="2"/>
        <v>155.488</v>
      </c>
      <c r="Q33" s="192">
        <f t="shared" si="3"/>
        <v>3677.7039999999997</v>
      </c>
      <c r="R33" s="192">
        <f t="shared" si="4"/>
        <v>3833.1919999999996</v>
      </c>
      <c r="S33" s="192">
        <f t="shared" si="5"/>
        <v>4138.7849999999999</v>
      </c>
      <c r="U33" s="350"/>
    </row>
    <row r="34" spans="1:21" ht="24.95" customHeight="1">
      <c r="A34" s="193" t="s">
        <v>49</v>
      </c>
      <c r="B34" s="194" t="s">
        <v>14</v>
      </c>
      <c r="C34" s="195" t="s">
        <v>221</v>
      </c>
      <c r="D34" s="190">
        <v>166753</v>
      </c>
      <c r="E34" s="190">
        <v>5438</v>
      </c>
      <c r="F34" s="190">
        <v>30696</v>
      </c>
      <c r="G34" s="190">
        <v>6052</v>
      </c>
      <c r="H34" s="190">
        <v>95685</v>
      </c>
      <c r="I34" s="190">
        <v>28882</v>
      </c>
      <c r="J34" s="190">
        <f t="shared" si="0"/>
        <v>132433</v>
      </c>
      <c r="K34" s="329">
        <v>0.05</v>
      </c>
      <c r="L34" s="329">
        <v>0.16500000000000001</v>
      </c>
      <c r="M34" s="330">
        <v>0.13300000000000001</v>
      </c>
      <c r="N34" s="191">
        <f t="shared" si="1"/>
        <v>271.90000000000003</v>
      </c>
      <c r="O34" s="192">
        <f t="shared" si="2"/>
        <v>1534.8000000000002</v>
      </c>
      <c r="P34" s="192">
        <f t="shared" si="2"/>
        <v>998.58</v>
      </c>
      <c r="Q34" s="192">
        <f t="shared" si="3"/>
        <v>15788.025000000001</v>
      </c>
      <c r="R34" s="192">
        <f t="shared" si="4"/>
        <v>16786.605000000003</v>
      </c>
      <c r="S34" s="192">
        <f t="shared" si="5"/>
        <v>17613.589</v>
      </c>
      <c r="U34" s="350"/>
    </row>
    <row r="35" spans="1:21" ht="24.95" customHeight="1">
      <c r="A35" s="193" t="s">
        <v>60</v>
      </c>
      <c r="B35" s="194" t="s">
        <v>14</v>
      </c>
      <c r="C35" s="195" t="s">
        <v>221</v>
      </c>
      <c r="D35" s="190">
        <v>42234</v>
      </c>
      <c r="E35" s="190">
        <v>1224</v>
      </c>
      <c r="F35" s="190">
        <v>7346</v>
      </c>
      <c r="G35" s="190">
        <v>1510</v>
      </c>
      <c r="H35" s="190">
        <v>23740</v>
      </c>
      <c r="I35" s="190">
        <v>8414</v>
      </c>
      <c r="J35" s="190">
        <f t="shared" si="0"/>
        <v>32596</v>
      </c>
      <c r="K35" s="329">
        <v>5.9000000000000004E-2</v>
      </c>
      <c r="L35" s="329">
        <v>0.156</v>
      </c>
      <c r="M35" s="330">
        <v>0.13</v>
      </c>
      <c r="N35" s="191">
        <f t="shared" si="1"/>
        <v>72.216000000000008</v>
      </c>
      <c r="O35" s="192">
        <f t="shared" si="2"/>
        <v>433.41400000000004</v>
      </c>
      <c r="P35" s="192">
        <f t="shared" si="2"/>
        <v>235.56</v>
      </c>
      <c r="Q35" s="192">
        <f t="shared" si="3"/>
        <v>3703.44</v>
      </c>
      <c r="R35" s="192">
        <f t="shared" si="4"/>
        <v>3939</v>
      </c>
      <c r="S35" s="192">
        <f t="shared" si="5"/>
        <v>4237.4800000000005</v>
      </c>
      <c r="U35" s="350"/>
    </row>
    <row r="36" spans="1:21" ht="24.95" customHeight="1">
      <c r="A36" s="193" t="s">
        <v>90</v>
      </c>
      <c r="B36" s="194" t="s">
        <v>15</v>
      </c>
      <c r="C36" s="195" t="s">
        <v>222</v>
      </c>
      <c r="D36" s="190">
        <v>59864</v>
      </c>
      <c r="E36" s="190">
        <v>2266</v>
      </c>
      <c r="F36" s="190">
        <v>12205</v>
      </c>
      <c r="G36" s="190">
        <v>2425</v>
      </c>
      <c r="H36" s="190">
        <v>32716</v>
      </c>
      <c r="I36" s="190">
        <v>10252</v>
      </c>
      <c r="J36" s="190">
        <f t="shared" si="0"/>
        <v>47346</v>
      </c>
      <c r="K36" s="329">
        <v>7.0000000000000007E-2</v>
      </c>
      <c r="L36" s="329">
        <v>0.27399999999999997</v>
      </c>
      <c r="M36" s="330">
        <v>0.214</v>
      </c>
      <c r="N36" s="191">
        <f t="shared" si="1"/>
        <v>158.62</v>
      </c>
      <c r="O36" s="192">
        <f t="shared" si="2"/>
        <v>854.35000000000014</v>
      </c>
      <c r="P36" s="192">
        <f t="shared" si="2"/>
        <v>664.44999999999993</v>
      </c>
      <c r="Q36" s="192">
        <f t="shared" si="3"/>
        <v>8964.1839999999993</v>
      </c>
      <c r="R36" s="192">
        <f t="shared" si="4"/>
        <v>9628.634</v>
      </c>
      <c r="S36" s="192">
        <f t="shared" si="5"/>
        <v>10132.044</v>
      </c>
      <c r="U36" s="350"/>
    </row>
    <row r="37" spans="1:21" ht="24.95" customHeight="1">
      <c r="A37" s="193" t="s">
        <v>42</v>
      </c>
      <c r="B37" s="194" t="s">
        <v>13</v>
      </c>
      <c r="C37" s="195" t="s">
        <v>221</v>
      </c>
      <c r="D37" s="190">
        <v>307438</v>
      </c>
      <c r="E37" s="190">
        <v>13237</v>
      </c>
      <c r="F37" s="190">
        <v>59030</v>
      </c>
      <c r="G37" s="190">
        <v>14323</v>
      </c>
      <c r="H37" s="190">
        <v>183670</v>
      </c>
      <c r="I37" s="190">
        <v>37178</v>
      </c>
      <c r="J37" s="190">
        <f t="shared" si="0"/>
        <v>257023</v>
      </c>
      <c r="K37" s="329">
        <v>4.9000000000000002E-2</v>
      </c>
      <c r="L37" s="329">
        <v>0.16800000000000001</v>
      </c>
      <c r="M37" s="330">
        <v>0.13699999999999998</v>
      </c>
      <c r="N37" s="191">
        <f t="shared" si="1"/>
        <v>648.61300000000006</v>
      </c>
      <c r="O37" s="192">
        <f t="shared" si="2"/>
        <v>2892.4700000000003</v>
      </c>
      <c r="P37" s="192">
        <f t="shared" si="2"/>
        <v>2406.2640000000001</v>
      </c>
      <c r="Q37" s="192">
        <f t="shared" si="3"/>
        <v>30856.560000000001</v>
      </c>
      <c r="R37" s="192">
        <f t="shared" si="4"/>
        <v>33262.824000000001</v>
      </c>
      <c r="S37" s="192">
        <f t="shared" si="5"/>
        <v>35212.150999999998</v>
      </c>
      <c r="U37" s="350"/>
    </row>
    <row r="38" spans="1:21" ht="24.95" customHeight="1">
      <c r="A38" s="193" t="s">
        <v>91</v>
      </c>
      <c r="B38" s="194" t="s">
        <v>15</v>
      </c>
      <c r="C38" s="195" t="s">
        <v>221</v>
      </c>
      <c r="D38" s="190">
        <v>54133</v>
      </c>
      <c r="E38" s="190">
        <v>1853</v>
      </c>
      <c r="F38" s="190">
        <v>10645</v>
      </c>
      <c r="G38" s="190">
        <v>1974</v>
      </c>
      <c r="H38" s="190">
        <v>29587</v>
      </c>
      <c r="I38" s="190">
        <v>10074</v>
      </c>
      <c r="J38" s="190">
        <f t="shared" si="0"/>
        <v>42206</v>
      </c>
      <c r="K38" s="329">
        <v>3.5000000000000003E-2</v>
      </c>
      <c r="L38" s="329">
        <v>0.156</v>
      </c>
      <c r="M38" s="330">
        <v>0.122</v>
      </c>
      <c r="N38" s="191">
        <f t="shared" si="1"/>
        <v>64.855000000000004</v>
      </c>
      <c r="O38" s="192">
        <f t="shared" si="2"/>
        <v>372.57500000000005</v>
      </c>
      <c r="P38" s="192">
        <f t="shared" si="2"/>
        <v>307.94400000000002</v>
      </c>
      <c r="Q38" s="192">
        <f t="shared" si="3"/>
        <v>4615.5720000000001</v>
      </c>
      <c r="R38" s="192">
        <f t="shared" si="4"/>
        <v>4923.5160000000005</v>
      </c>
      <c r="S38" s="192">
        <f t="shared" si="5"/>
        <v>5149.1319999999996</v>
      </c>
      <c r="U38" s="350"/>
    </row>
    <row r="39" spans="1:21" ht="24.95" customHeight="1">
      <c r="A39" s="193" t="s">
        <v>61</v>
      </c>
      <c r="B39" s="194" t="s">
        <v>14</v>
      </c>
      <c r="C39" s="195" t="s">
        <v>221</v>
      </c>
      <c r="D39" s="190">
        <v>373145</v>
      </c>
      <c r="E39" s="190">
        <v>13694</v>
      </c>
      <c r="F39" s="190">
        <v>73598</v>
      </c>
      <c r="G39" s="190">
        <v>15640</v>
      </c>
      <c r="H39" s="190">
        <v>212985</v>
      </c>
      <c r="I39" s="190">
        <v>57228</v>
      </c>
      <c r="J39" s="190">
        <f t="shared" si="0"/>
        <v>302223</v>
      </c>
      <c r="K39" s="329">
        <v>0.04</v>
      </c>
      <c r="L39" s="329">
        <v>0.16800000000000001</v>
      </c>
      <c r="M39" s="330">
        <v>0.13100000000000001</v>
      </c>
      <c r="N39" s="191">
        <f t="shared" si="1"/>
        <v>547.76</v>
      </c>
      <c r="O39" s="192">
        <f t="shared" si="2"/>
        <v>2943.92</v>
      </c>
      <c r="P39" s="192">
        <f t="shared" si="2"/>
        <v>2627.52</v>
      </c>
      <c r="Q39" s="192">
        <f t="shared" si="3"/>
        <v>35781.480000000003</v>
      </c>
      <c r="R39" s="192">
        <f t="shared" si="4"/>
        <v>38409</v>
      </c>
      <c r="S39" s="192">
        <f t="shared" si="5"/>
        <v>39591.213000000003</v>
      </c>
      <c r="U39" s="350"/>
    </row>
    <row r="40" spans="1:21" ht="24.95" customHeight="1">
      <c r="A40" s="193" t="s">
        <v>50</v>
      </c>
      <c r="B40" s="194" t="s">
        <v>14</v>
      </c>
      <c r="C40" s="195" t="s">
        <v>221</v>
      </c>
      <c r="D40" s="190">
        <v>65736</v>
      </c>
      <c r="E40" s="190">
        <v>2179</v>
      </c>
      <c r="F40" s="190">
        <v>12414</v>
      </c>
      <c r="G40" s="190">
        <v>2499</v>
      </c>
      <c r="H40" s="190">
        <v>37923</v>
      </c>
      <c r="I40" s="190">
        <v>10721</v>
      </c>
      <c r="J40" s="190">
        <f t="shared" si="0"/>
        <v>52836</v>
      </c>
      <c r="K40" s="329">
        <v>5.5E-2</v>
      </c>
      <c r="L40" s="329">
        <v>0.17499999999999999</v>
      </c>
      <c r="M40" s="330">
        <v>0.14099999999999999</v>
      </c>
      <c r="N40" s="191">
        <f t="shared" si="1"/>
        <v>119.845</v>
      </c>
      <c r="O40" s="192">
        <f t="shared" si="2"/>
        <v>682.77</v>
      </c>
      <c r="P40" s="192">
        <f t="shared" si="2"/>
        <v>437.32499999999999</v>
      </c>
      <c r="Q40" s="192">
        <f t="shared" si="3"/>
        <v>6636.5249999999996</v>
      </c>
      <c r="R40" s="192">
        <f t="shared" si="4"/>
        <v>7073.8499999999995</v>
      </c>
      <c r="S40" s="192">
        <f t="shared" si="5"/>
        <v>7449.8759999999993</v>
      </c>
      <c r="U40" s="350"/>
    </row>
    <row r="41" spans="1:21" ht="24.95" customHeight="1">
      <c r="A41" s="193" t="s">
        <v>104</v>
      </c>
      <c r="B41" s="194" t="s">
        <v>16</v>
      </c>
      <c r="C41" s="195" t="s">
        <v>221</v>
      </c>
      <c r="D41" s="190">
        <v>216693</v>
      </c>
      <c r="E41" s="190">
        <v>7637</v>
      </c>
      <c r="F41" s="190">
        <v>41496</v>
      </c>
      <c r="G41" s="190">
        <v>8421</v>
      </c>
      <c r="H41" s="190">
        <v>124990</v>
      </c>
      <c r="I41" s="190">
        <v>34149</v>
      </c>
      <c r="J41" s="190">
        <f t="shared" si="0"/>
        <v>174907</v>
      </c>
      <c r="K41" s="329">
        <v>4.4000000000000004E-2</v>
      </c>
      <c r="L41" s="329">
        <v>0.16300000000000001</v>
      </c>
      <c r="M41" s="330">
        <v>0.13</v>
      </c>
      <c r="N41" s="191">
        <f t="shared" si="1"/>
        <v>336.02800000000002</v>
      </c>
      <c r="O41" s="192">
        <f t="shared" si="2"/>
        <v>1825.8240000000001</v>
      </c>
      <c r="P41" s="192">
        <f t="shared" si="2"/>
        <v>1372.623</v>
      </c>
      <c r="Q41" s="192">
        <f t="shared" si="3"/>
        <v>20373.37</v>
      </c>
      <c r="R41" s="192">
        <f t="shared" si="4"/>
        <v>21745.992999999999</v>
      </c>
      <c r="S41" s="192">
        <f t="shared" si="5"/>
        <v>22737.91</v>
      </c>
      <c r="U41" s="350"/>
    </row>
    <row r="42" spans="1:21" ht="24.95" customHeight="1">
      <c r="A42" s="193" t="s">
        <v>76</v>
      </c>
      <c r="B42" s="194" t="s">
        <v>381</v>
      </c>
      <c r="C42" s="195" t="s">
        <v>221</v>
      </c>
      <c r="D42" s="190">
        <v>11678</v>
      </c>
      <c r="E42" s="190">
        <v>344</v>
      </c>
      <c r="F42" s="190">
        <v>1915</v>
      </c>
      <c r="G42" s="190">
        <v>436</v>
      </c>
      <c r="H42" s="190">
        <v>6781</v>
      </c>
      <c r="I42" s="190">
        <v>2202</v>
      </c>
      <c r="J42" s="190">
        <f t="shared" si="0"/>
        <v>9132</v>
      </c>
      <c r="K42" s="329">
        <v>5.4000000000000006E-2</v>
      </c>
      <c r="L42" s="329">
        <v>0.13100000000000001</v>
      </c>
      <c r="M42" s="330">
        <v>0.111</v>
      </c>
      <c r="N42" s="191">
        <f t="shared" si="1"/>
        <v>18.576000000000001</v>
      </c>
      <c r="O42" s="192">
        <f t="shared" si="2"/>
        <v>103.41000000000001</v>
      </c>
      <c r="P42" s="192">
        <f t="shared" si="2"/>
        <v>57.116</v>
      </c>
      <c r="Q42" s="192">
        <f t="shared" si="3"/>
        <v>888.31100000000004</v>
      </c>
      <c r="R42" s="192">
        <f t="shared" si="4"/>
        <v>945.42700000000002</v>
      </c>
      <c r="S42" s="192">
        <f t="shared" si="5"/>
        <v>1013.652</v>
      </c>
      <c r="U42" s="350"/>
    </row>
    <row r="43" spans="1:21" ht="24.95" customHeight="1">
      <c r="A43" s="193" t="s">
        <v>126</v>
      </c>
      <c r="B43" s="194" t="s">
        <v>428</v>
      </c>
      <c r="C43" s="195" t="s">
        <v>222</v>
      </c>
      <c r="D43" s="190">
        <v>8684</v>
      </c>
      <c r="E43" s="190">
        <v>270</v>
      </c>
      <c r="F43" s="190">
        <v>1538</v>
      </c>
      <c r="G43" s="190">
        <v>314</v>
      </c>
      <c r="H43" s="190">
        <v>4506</v>
      </c>
      <c r="I43" s="190">
        <v>2056</v>
      </c>
      <c r="J43" s="190">
        <f t="shared" si="0"/>
        <v>6358</v>
      </c>
      <c r="K43" s="329">
        <v>6.7000000000000004E-2</v>
      </c>
      <c r="L43" s="329">
        <v>0.20600000000000002</v>
      </c>
      <c r="M43" s="330">
        <v>0.16800000000000001</v>
      </c>
      <c r="N43" s="191">
        <f t="shared" si="1"/>
        <v>18.09</v>
      </c>
      <c r="O43" s="192">
        <f t="shared" si="2"/>
        <v>103.04600000000001</v>
      </c>
      <c r="P43" s="192">
        <f t="shared" si="2"/>
        <v>64.684000000000012</v>
      </c>
      <c r="Q43" s="192">
        <f t="shared" si="3"/>
        <v>928.2360000000001</v>
      </c>
      <c r="R43" s="192">
        <f t="shared" si="4"/>
        <v>992.92000000000007</v>
      </c>
      <c r="S43" s="192">
        <f t="shared" si="5"/>
        <v>1068.144</v>
      </c>
      <c r="U43" s="350"/>
    </row>
    <row r="44" spans="1:21" ht="24.95" customHeight="1">
      <c r="A44" s="193" t="s">
        <v>51</v>
      </c>
      <c r="B44" s="194" t="s">
        <v>14</v>
      </c>
      <c r="C44" s="195" t="s">
        <v>222</v>
      </c>
      <c r="D44" s="190">
        <v>59315</v>
      </c>
      <c r="E44" s="190">
        <v>1744</v>
      </c>
      <c r="F44" s="190">
        <v>10048</v>
      </c>
      <c r="G44" s="190">
        <v>2579</v>
      </c>
      <c r="H44" s="190">
        <v>35346</v>
      </c>
      <c r="I44" s="190">
        <v>9598</v>
      </c>
      <c r="J44" s="190">
        <f t="shared" si="0"/>
        <v>47973</v>
      </c>
      <c r="K44" s="329">
        <v>5.2000000000000005E-2</v>
      </c>
      <c r="L44" s="329">
        <v>0.13100000000000001</v>
      </c>
      <c r="M44" s="330">
        <v>0.11</v>
      </c>
      <c r="N44" s="191">
        <f t="shared" si="1"/>
        <v>90.688000000000002</v>
      </c>
      <c r="O44" s="192">
        <f t="shared" si="2"/>
        <v>522.49600000000009</v>
      </c>
      <c r="P44" s="192">
        <f t="shared" si="2"/>
        <v>337.84899999999999</v>
      </c>
      <c r="Q44" s="192">
        <f t="shared" si="3"/>
        <v>4630.326</v>
      </c>
      <c r="R44" s="192">
        <f t="shared" si="4"/>
        <v>4968.1750000000002</v>
      </c>
      <c r="S44" s="192">
        <f t="shared" si="5"/>
        <v>5277.03</v>
      </c>
      <c r="U44" s="350"/>
    </row>
    <row r="45" spans="1:21" ht="24.95" customHeight="1">
      <c r="A45" s="193" t="s">
        <v>92</v>
      </c>
      <c r="B45" s="194" t="s">
        <v>15</v>
      </c>
      <c r="C45" s="195" t="s">
        <v>222</v>
      </c>
      <c r="D45" s="190">
        <v>21072</v>
      </c>
      <c r="E45" s="190">
        <v>638</v>
      </c>
      <c r="F45" s="190">
        <v>3874</v>
      </c>
      <c r="G45" s="190">
        <v>793</v>
      </c>
      <c r="H45" s="190">
        <v>12480</v>
      </c>
      <c r="I45" s="190">
        <v>3287</v>
      </c>
      <c r="J45" s="190">
        <f t="shared" si="0"/>
        <v>17147</v>
      </c>
      <c r="K45" s="329">
        <v>8.1000000000000003E-2</v>
      </c>
      <c r="L45" s="329">
        <v>0.221</v>
      </c>
      <c r="M45" s="330">
        <v>0.18100000000000002</v>
      </c>
      <c r="N45" s="191">
        <f t="shared" si="1"/>
        <v>51.678000000000004</v>
      </c>
      <c r="O45" s="192">
        <f t="shared" si="2"/>
        <v>313.79399999999998</v>
      </c>
      <c r="P45" s="192">
        <f t="shared" si="2"/>
        <v>175.25300000000001</v>
      </c>
      <c r="Q45" s="192">
        <f t="shared" si="3"/>
        <v>2758.08</v>
      </c>
      <c r="R45" s="192">
        <f t="shared" si="4"/>
        <v>2933.3330000000001</v>
      </c>
      <c r="S45" s="192">
        <f t="shared" si="5"/>
        <v>3103.6070000000004</v>
      </c>
      <c r="U45" s="350"/>
    </row>
    <row r="46" spans="1:21" ht="24.95" customHeight="1">
      <c r="A46" s="193" t="s">
        <v>110</v>
      </c>
      <c r="B46" s="194" t="s">
        <v>17</v>
      </c>
      <c r="C46" s="195" t="s">
        <v>221</v>
      </c>
      <c r="D46" s="190">
        <v>525464</v>
      </c>
      <c r="E46" s="190">
        <v>18603</v>
      </c>
      <c r="F46" s="190">
        <v>97266</v>
      </c>
      <c r="G46" s="190">
        <v>26965</v>
      </c>
      <c r="H46" s="190">
        <v>304797</v>
      </c>
      <c r="I46" s="190">
        <v>77833</v>
      </c>
      <c r="J46" s="190">
        <f t="shared" si="0"/>
        <v>429028</v>
      </c>
      <c r="K46" s="329">
        <v>4.4999999999999998E-2</v>
      </c>
      <c r="L46" s="329">
        <v>0.16500000000000001</v>
      </c>
      <c r="M46" s="330">
        <v>0.13200000000000001</v>
      </c>
      <c r="N46" s="191">
        <f t="shared" si="1"/>
        <v>837.13499999999999</v>
      </c>
      <c r="O46" s="192">
        <f t="shared" si="2"/>
        <v>4376.97</v>
      </c>
      <c r="P46" s="192">
        <f t="shared" si="2"/>
        <v>4449.2250000000004</v>
      </c>
      <c r="Q46" s="192">
        <f t="shared" si="3"/>
        <v>50291.505000000005</v>
      </c>
      <c r="R46" s="192">
        <f t="shared" si="4"/>
        <v>54740.73</v>
      </c>
      <c r="S46" s="192">
        <f t="shared" si="5"/>
        <v>56631.696000000004</v>
      </c>
      <c r="U46" s="350"/>
    </row>
    <row r="47" spans="1:21" ht="24.95" customHeight="1">
      <c r="A47" s="193" t="s">
        <v>52</v>
      </c>
      <c r="B47" s="194" t="s">
        <v>14</v>
      </c>
      <c r="C47" s="195" t="s">
        <v>222</v>
      </c>
      <c r="D47" s="190">
        <v>51702</v>
      </c>
      <c r="E47" s="190">
        <v>1752</v>
      </c>
      <c r="F47" s="190">
        <v>9396</v>
      </c>
      <c r="G47" s="190">
        <v>1753</v>
      </c>
      <c r="H47" s="190">
        <v>28633</v>
      </c>
      <c r="I47" s="190">
        <v>10168</v>
      </c>
      <c r="J47" s="190">
        <f t="shared" si="0"/>
        <v>39782</v>
      </c>
      <c r="K47" s="329">
        <v>4.0999999999999995E-2</v>
      </c>
      <c r="L47" s="329">
        <v>0.16800000000000001</v>
      </c>
      <c r="M47" s="330">
        <v>0.13400000000000001</v>
      </c>
      <c r="N47" s="191">
        <f t="shared" si="1"/>
        <v>71.831999999999994</v>
      </c>
      <c r="O47" s="192">
        <f t="shared" si="2"/>
        <v>385.23599999999993</v>
      </c>
      <c r="P47" s="192">
        <f t="shared" si="2"/>
        <v>294.50400000000002</v>
      </c>
      <c r="Q47" s="192">
        <f t="shared" si="3"/>
        <v>4810.3440000000001</v>
      </c>
      <c r="R47" s="192">
        <f t="shared" si="4"/>
        <v>5104.848</v>
      </c>
      <c r="S47" s="192">
        <f t="shared" si="5"/>
        <v>5330.7880000000005</v>
      </c>
      <c r="U47" s="350"/>
    </row>
    <row r="48" spans="1:21" ht="24.95" customHeight="1">
      <c r="A48" s="193" t="s">
        <v>111</v>
      </c>
      <c r="B48" s="194" t="s">
        <v>17</v>
      </c>
      <c r="C48" s="195" t="s">
        <v>222</v>
      </c>
      <c r="D48" s="190">
        <v>129996</v>
      </c>
      <c r="E48" s="190">
        <v>5620</v>
      </c>
      <c r="F48" s="190">
        <v>29681</v>
      </c>
      <c r="G48" s="190">
        <v>6011</v>
      </c>
      <c r="H48" s="190">
        <v>72513</v>
      </c>
      <c r="I48" s="190">
        <v>16171</v>
      </c>
      <c r="J48" s="190">
        <f t="shared" si="0"/>
        <v>108205</v>
      </c>
      <c r="K48" s="329">
        <v>3.9E-2</v>
      </c>
      <c r="L48" s="329">
        <v>0.17300000000000001</v>
      </c>
      <c r="M48" s="330">
        <v>0.13100000000000001</v>
      </c>
      <c r="N48" s="191">
        <f t="shared" si="1"/>
        <v>219.18</v>
      </c>
      <c r="O48" s="192">
        <f t="shared" si="2"/>
        <v>1157.559</v>
      </c>
      <c r="P48" s="192">
        <f t="shared" si="2"/>
        <v>1039.903</v>
      </c>
      <c r="Q48" s="192">
        <f t="shared" si="3"/>
        <v>12544.749000000002</v>
      </c>
      <c r="R48" s="192">
        <f t="shared" si="4"/>
        <v>13584.652000000002</v>
      </c>
      <c r="S48" s="192">
        <f t="shared" si="5"/>
        <v>14174.855000000001</v>
      </c>
      <c r="U48" s="350"/>
    </row>
    <row r="49" spans="1:21" ht="24.95" customHeight="1">
      <c r="A49" s="193" t="s">
        <v>127</v>
      </c>
      <c r="B49" s="194" t="s">
        <v>428</v>
      </c>
      <c r="C49" s="195" t="s">
        <v>221</v>
      </c>
      <c r="D49" s="190">
        <v>61623</v>
      </c>
      <c r="E49" s="190">
        <v>1787</v>
      </c>
      <c r="F49" s="190">
        <v>9413</v>
      </c>
      <c r="G49" s="190">
        <v>1925</v>
      </c>
      <c r="H49" s="190">
        <v>33187</v>
      </c>
      <c r="I49" s="190">
        <v>15311</v>
      </c>
      <c r="J49" s="190">
        <f t="shared" si="0"/>
        <v>44525</v>
      </c>
      <c r="K49" s="329">
        <v>4.2999999999999997E-2</v>
      </c>
      <c r="L49" s="329">
        <v>0.14400000000000002</v>
      </c>
      <c r="M49" s="330">
        <v>0.12</v>
      </c>
      <c r="N49" s="191">
        <f t="shared" si="1"/>
        <v>76.840999999999994</v>
      </c>
      <c r="O49" s="192">
        <f t="shared" si="2"/>
        <v>404.75899999999996</v>
      </c>
      <c r="P49" s="192">
        <f t="shared" si="2"/>
        <v>277.20000000000005</v>
      </c>
      <c r="Q49" s="192">
        <f t="shared" si="3"/>
        <v>4778.9280000000008</v>
      </c>
      <c r="R49" s="192">
        <f t="shared" si="4"/>
        <v>5056.1280000000006</v>
      </c>
      <c r="S49" s="192">
        <f t="shared" si="5"/>
        <v>5343</v>
      </c>
      <c r="U49" s="350"/>
    </row>
    <row r="50" spans="1:21" ht="24.95" customHeight="1">
      <c r="A50" s="193" t="s">
        <v>128</v>
      </c>
      <c r="B50" s="194" t="s">
        <v>428</v>
      </c>
      <c r="C50" s="195" t="s">
        <v>221</v>
      </c>
      <c r="D50" s="190">
        <v>115082</v>
      </c>
      <c r="E50" s="190">
        <v>3322</v>
      </c>
      <c r="F50" s="190">
        <v>18784</v>
      </c>
      <c r="G50" s="190">
        <v>3398</v>
      </c>
      <c r="H50" s="190">
        <v>59574</v>
      </c>
      <c r="I50" s="190">
        <v>30004</v>
      </c>
      <c r="J50" s="190">
        <f t="shared" si="0"/>
        <v>81756</v>
      </c>
      <c r="K50" s="329">
        <v>5.5E-2</v>
      </c>
      <c r="L50" s="329">
        <v>0.17800000000000002</v>
      </c>
      <c r="M50" s="330">
        <v>0.14599999999999999</v>
      </c>
      <c r="N50" s="191">
        <f t="shared" si="1"/>
        <v>182.71</v>
      </c>
      <c r="O50" s="192">
        <f t="shared" si="2"/>
        <v>1033.1200000000001</v>
      </c>
      <c r="P50" s="192">
        <f t="shared" si="2"/>
        <v>604.84400000000005</v>
      </c>
      <c r="Q50" s="192">
        <f t="shared" si="3"/>
        <v>10604.172</v>
      </c>
      <c r="R50" s="192">
        <f t="shared" si="4"/>
        <v>11209.016</v>
      </c>
      <c r="S50" s="192">
        <f t="shared" si="5"/>
        <v>11936.375999999998</v>
      </c>
      <c r="U50" s="350"/>
    </row>
    <row r="51" spans="1:21" ht="24.95" customHeight="1">
      <c r="A51" s="193" t="s">
        <v>77</v>
      </c>
      <c r="B51" s="194" t="s">
        <v>381</v>
      </c>
      <c r="C51" s="195" t="s">
        <v>222</v>
      </c>
      <c r="D51" s="190">
        <v>24379</v>
      </c>
      <c r="E51" s="190">
        <v>713</v>
      </c>
      <c r="F51" s="190">
        <v>4099</v>
      </c>
      <c r="G51" s="190">
        <v>1262</v>
      </c>
      <c r="H51" s="190">
        <v>13839</v>
      </c>
      <c r="I51" s="190">
        <v>4466</v>
      </c>
      <c r="J51" s="190">
        <f t="shared" si="0"/>
        <v>19200</v>
      </c>
      <c r="K51" s="329">
        <v>0.04</v>
      </c>
      <c r="L51" s="329">
        <v>0.159</v>
      </c>
      <c r="M51" s="330">
        <v>0.127</v>
      </c>
      <c r="N51" s="191">
        <f t="shared" si="1"/>
        <v>28.52</v>
      </c>
      <c r="O51" s="192">
        <f t="shared" si="2"/>
        <v>163.96</v>
      </c>
      <c r="P51" s="192">
        <f t="shared" si="2"/>
        <v>200.65800000000002</v>
      </c>
      <c r="Q51" s="192">
        <f t="shared" si="3"/>
        <v>2200.4009999999998</v>
      </c>
      <c r="R51" s="192">
        <f t="shared" si="4"/>
        <v>2401.0589999999997</v>
      </c>
      <c r="S51" s="192">
        <f t="shared" si="5"/>
        <v>2438.4</v>
      </c>
      <c r="U51" s="350"/>
    </row>
    <row r="52" spans="1:21" ht="24.95" customHeight="1">
      <c r="A52" s="193" t="s">
        <v>112</v>
      </c>
      <c r="B52" s="194" t="s">
        <v>17</v>
      </c>
      <c r="C52" s="195" t="s">
        <v>221</v>
      </c>
      <c r="D52" s="190">
        <v>54161</v>
      </c>
      <c r="E52" s="190">
        <v>2825</v>
      </c>
      <c r="F52" s="190">
        <v>13810</v>
      </c>
      <c r="G52" s="190">
        <v>2249</v>
      </c>
      <c r="H52" s="190">
        <v>30270</v>
      </c>
      <c r="I52" s="190">
        <v>5007</v>
      </c>
      <c r="J52" s="190">
        <f t="shared" si="0"/>
        <v>46329</v>
      </c>
      <c r="K52" s="329">
        <v>5.2999999999999999E-2</v>
      </c>
      <c r="L52" s="329">
        <v>0.218</v>
      </c>
      <c r="M52" s="330">
        <v>0.16600000000000001</v>
      </c>
      <c r="N52" s="191">
        <f t="shared" si="1"/>
        <v>149.72499999999999</v>
      </c>
      <c r="O52" s="192">
        <f t="shared" si="2"/>
        <v>731.93</v>
      </c>
      <c r="P52" s="192">
        <f t="shared" si="2"/>
        <v>490.28199999999998</v>
      </c>
      <c r="Q52" s="192">
        <f t="shared" si="3"/>
        <v>6598.86</v>
      </c>
      <c r="R52" s="192">
        <f t="shared" si="4"/>
        <v>7089.1419999999998</v>
      </c>
      <c r="S52" s="192">
        <f t="shared" si="5"/>
        <v>7690.6140000000005</v>
      </c>
      <c r="U52" s="350"/>
    </row>
    <row r="53" spans="1:21" ht="24.95" customHeight="1">
      <c r="A53" s="193" t="s">
        <v>78</v>
      </c>
      <c r="B53" s="194" t="s">
        <v>381</v>
      </c>
      <c r="C53" s="195" t="s">
        <v>222</v>
      </c>
      <c r="D53" s="190">
        <v>5665</v>
      </c>
      <c r="E53" s="190">
        <v>138</v>
      </c>
      <c r="F53" s="190">
        <v>837</v>
      </c>
      <c r="G53" s="190">
        <v>167</v>
      </c>
      <c r="H53" s="190">
        <v>3443</v>
      </c>
      <c r="I53" s="190">
        <v>1080</v>
      </c>
      <c r="J53" s="190">
        <f t="shared" si="0"/>
        <v>4447</v>
      </c>
      <c r="K53" s="329">
        <v>8.3000000000000004E-2</v>
      </c>
      <c r="L53" s="329">
        <v>0.184</v>
      </c>
      <c r="M53" s="330">
        <v>0.158</v>
      </c>
      <c r="N53" s="191">
        <f t="shared" si="1"/>
        <v>11.454000000000001</v>
      </c>
      <c r="O53" s="192">
        <f t="shared" si="2"/>
        <v>69.471000000000004</v>
      </c>
      <c r="P53" s="192">
        <f t="shared" si="2"/>
        <v>30.727999999999998</v>
      </c>
      <c r="Q53" s="192">
        <f t="shared" si="3"/>
        <v>633.51199999999994</v>
      </c>
      <c r="R53" s="192">
        <f t="shared" si="4"/>
        <v>664.2399999999999</v>
      </c>
      <c r="S53" s="192">
        <f t="shared" si="5"/>
        <v>702.62599999999998</v>
      </c>
      <c r="U53" s="350"/>
    </row>
    <row r="54" spans="1:21" ht="24.95" customHeight="1">
      <c r="A54" s="193" t="s">
        <v>105</v>
      </c>
      <c r="B54" s="194" t="s">
        <v>16</v>
      </c>
      <c r="C54" s="195" t="s">
        <v>221</v>
      </c>
      <c r="D54" s="190">
        <v>176191</v>
      </c>
      <c r="E54" s="190">
        <v>5803</v>
      </c>
      <c r="F54" s="190">
        <v>33617</v>
      </c>
      <c r="G54" s="190">
        <v>7081</v>
      </c>
      <c r="H54" s="190">
        <v>102581</v>
      </c>
      <c r="I54" s="190">
        <v>27109</v>
      </c>
      <c r="J54" s="190">
        <f t="shared" si="0"/>
        <v>143279</v>
      </c>
      <c r="K54" s="329">
        <v>4.7E-2</v>
      </c>
      <c r="L54" s="329">
        <v>0.14599999999999999</v>
      </c>
      <c r="M54" s="330">
        <v>0.11800000000000001</v>
      </c>
      <c r="N54" s="191">
        <f t="shared" si="1"/>
        <v>272.74099999999999</v>
      </c>
      <c r="O54" s="192">
        <f t="shared" si="2"/>
        <v>1579.999</v>
      </c>
      <c r="P54" s="192">
        <f t="shared" si="2"/>
        <v>1033.826</v>
      </c>
      <c r="Q54" s="192">
        <f t="shared" si="3"/>
        <v>14976.825999999999</v>
      </c>
      <c r="R54" s="192">
        <f t="shared" si="4"/>
        <v>16010.651999999998</v>
      </c>
      <c r="S54" s="192">
        <f t="shared" si="5"/>
        <v>16906.922000000002</v>
      </c>
      <c r="U54" s="350"/>
    </row>
    <row r="55" spans="1:21" ht="24.95" customHeight="1">
      <c r="A55" s="193" t="s">
        <v>129</v>
      </c>
      <c r="B55" s="194" t="s">
        <v>428</v>
      </c>
      <c r="C55" s="195" t="s">
        <v>222</v>
      </c>
      <c r="D55" s="190">
        <v>42221</v>
      </c>
      <c r="E55" s="190">
        <v>1191</v>
      </c>
      <c r="F55" s="190">
        <v>6177</v>
      </c>
      <c r="G55" s="190">
        <v>3971</v>
      </c>
      <c r="H55" s="190">
        <v>22791</v>
      </c>
      <c r="I55" s="190">
        <v>8091</v>
      </c>
      <c r="J55" s="190">
        <f t="shared" si="0"/>
        <v>32939</v>
      </c>
      <c r="K55" s="329">
        <v>7.0000000000000007E-2</v>
      </c>
      <c r="L55" s="329">
        <v>0.215</v>
      </c>
      <c r="M55" s="330">
        <v>0.18100000000000002</v>
      </c>
      <c r="N55" s="191">
        <f t="shared" si="1"/>
        <v>83.37</v>
      </c>
      <c r="O55" s="192">
        <f t="shared" si="2"/>
        <v>432.39000000000004</v>
      </c>
      <c r="P55" s="192">
        <f t="shared" si="2"/>
        <v>853.76499999999999</v>
      </c>
      <c r="Q55" s="192">
        <f t="shared" si="3"/>
        <v>4900.0649999999996</v>
      </c>
      <c r="R55" s="192">
        <f t="shared" si="4"/>
        <v>5753.83</v>
      </c>
      <c r="S55" s="192">
        <f t="shared" si="5"/>
        <v>5961.9590000000007</v>
      </c>
      <c r="U55" s="350"/>
    </row>
    <row r="56" spans="1:21" ht="24.95" customHeight="1">
      <c r="A56" s="193" t="s">
        <v>43</v>
      </c>
      <c r="B56" s="194" t="s">
        <v>13</v>
      </c>
      <c r="C56" s="195" t="s">
        <v>221</v>
      </c>
      <c r="D56" s="190">
        <v>193035</v>
      </c>
      <c r="E56" s="190">
        <v>7177</v>
      </c>
      <c r="F56" s="190">
        <v>41558</v>
      </c>
      <c r="G56" s="190">
        <v>7706</v>
      </c>
      <c r="H56" s="190">
        <v>111469</v>
      </c>
      <c r="I56" s="190">
        <v>25125</v>
      </c>
      <c r="J56" s="190">
        <f t="shared" si="0"/>
        <v>160733</v>
      </c>
      <c r="K56" s="329">
        <v>4.7E-2</v>
      </c>
      <c r="L56" s="329">
        <v>0.17699999999999999</v>
      </c>
      <c r="M56" s="330">
        <v>0.13699999999999998</v>
      </c>
      <c r="N56" s="191">
        <f t="shared" si="1"/>
        <v>337.31900000000002</v>
      </c>
      <c r="O56" s="192">
        <f t="shared" si="2"/>
        <v>1953.2260000000001</v>
      </c>
      <c r="P56" s="192">
        <f t="shared" si="2"/>
        <v>1363.962</v>
      </c>
      <c r="Q56" s="192">
        <f t="shared" si="3"/>
        <v>19730.012999999999</v>
      </c>
      <c r="R56" s="192">
        <f t="shared" si="4"/>
        <v>21093.974999999999</v>
      </c>
      <c r="S56" s="192">
        <f t="shared" si="5"/>
        <v>22020.420999999998</v>
      </c>
      <c r="U56" s="350"/>
    </row>
    <row r="57" spans="1:21" ht="24.95" customHeight="1">
      <c r="A57" s="193" t="s">
        <v>79</v>
      </c>
      <c r="B57" s="194" t="s">
        <v>381</v>
      </c>
      <c r="C57" s="195" t="s">
        <v>221</v>
      </c>
      <c r="D57" s="190">
        <v>10426</v>
      </c>
      <c r="E57" s="190">
        <v>326</v>
      </c>
      <c r="F57" s="190">
        <v>1749</v>
      </c>
      <c r="G57" s="190">
        <v>323</v>
      </c>
      <c r="H57" s="190">
        <v>5923</v>
      </c>
      <c r="I57" s="190">
        <v>2105</v>
      </c>
      <c r="J57" s="190">
        <f t="shared" si="0"/>
        <v>7995</v>
      </c>
      <c r="K57" s="329">
        <v>6.8000000000000005E-2</v>
      </c>
      <c r="L57" s="329">
        <v>0.17300000000000001</v>
      </c>
      <c r="M57" s="330">
        <v>0.14699999999999999</v>
      </c>
      <c r="N57" s="191">
        <f t="shared" si="1"/>
        <v>22.168000000000003</v>
      </c>
      <c r="O57" s="192">
        <f t="shared" si="2"/>
        <v>118.932</v>
      </c>
      <c r="P57" s="192">
        <f t="shared" si="2"/>
        <v>55.879000000000005</v>
      </c>
      <c r="Q57" s="192">
        <f t="shared" si="3"/>
        <v>1024.6790000000001</v>
      </c>
      <c r="R57" s="192">
        <f t="shared" si="4"/>
        <v>1080.558</v>
      </c>
      <c r="S57" s="192">
        <f t="shared" si="5"/>
        <v>1175.2649999999999</v>
      </c>
      <c r="U57" s="350"/>
    </row>
    <row r="58" spans="1:21" ht="24.95" customHeight="1">
      <c r="A58" s="193" t="s">
        <v>113</v>
      </c>
      <c r="B58" s="194" t="s">
        <v>17</v>
      </c>
      <c r="C58" s="195" t="s">
        <v>222</v>
      </c>
      <c r="D58" s="190">
        <v>58907</v>
      </c>
      <c r="E58" s="190">
        <v>2326</v>
      </c>
      <c r="F58" s="190">
        <v>12418</v>
      </c>
      <c r="G58" s="190">
        <v>2356</v>
      </c>
      <c r="H58" s="190">
        <v>32426</v>
      </c>
      <c r="I58" s="190">
        <v>9381</v>
      </c>
      <c r="J58" s="190">
        <f t="shared" si="0"/>
        <v>47200</v>
      </c>
      <c r="K58" s="329">
        <v>6.3E-2</v>
      </c>
      <c r="L58" s="329">
        <v>0.19800000000000001</v>
      </c>
      <c r="M58" s="330">
        <v>0.158</v>
      </c>
      <c r="N58" s="191">
        <f t="shared" si="1"/>
        <v>146.53800000000001</v>
      </c>
      <c r="O58" s="192">
        <f t="shared" si="2"/>
        <v>782.33400000000006</v>
      </c>
      <c r="P58" s="192">
        <f t="shared" si="2"/>
        <v>466.488</v>
      </c>
      <c r="Q58" s="192">
        <f t="shared" si="3"/>
        <v>6420.348</v>
      </c>
      <c r="R58" s="192">
        <f t="shared" si="4"/>
        <v>6886.8360000000002</v>
      </c>
      <c r="S58" s="192">
        <f t="shared" si="5"/>
        <v>7457.6</v>
      </c>
      <c r="U58" s="350"/>
    </row>
    <row r="59" spans="1:21" ht="24.95" customHeight="1">
      <c r="A59" s="193" t="s">
        <v>93</v>
      </c>
      <c r="B59" s="194" t="s">
        <v>15</v>
      </c>
      <c r="C59" s="195" t="s">
        <v>222</v>
      </c>
      <c r="D59" s="190">
        <v>58209</v>
      </c>
      <c r="E59" s="190">
        <v>2021</v>
      </c>
      <c r="F59" s="190">
        <v>10934</v>
      </c>
      <c r="G59" s="190">
        <v>2177</v>
      </c>
      <c r="H59" s="190">
        <v>32075</v>
      </c>
      <c r="I59" s="190">
        <v>11002</v>
      </c>
      <c r="J59" s="190">
        <f t="shared" si="0"/>
        <v>45186</v>
      </c>
      <c r="K59" s="329">
        <v>4.4000000000000004E-2</v>
      </c>
      <c r="L59" s="329">
        <v>0.187</v>
      </c>
      <c r="M59" s="330">
        <v>0.14800000000000002</v>
      </c>
      <c r="N59" s="191">
        <f t="shared" si="1"/>
        <v>88.924000000000007</v>
      </c>
      <c r="O59" s="192">
        <f t="shared" si="2"/>
        <v>481.09600000000006</v>
      </c>
      <c r="P59" s="192">
        <f t="shared" si="2"/>
        <v>407.09899999999999</v>
      </c>
      <c r="Q59" s="192">
        <f t="shared" si="3"/>
        <v>5998.0249999999996</v>
      </c>
      <c r="R59" s="192">
        <f t="shared" si="4"/>
        <v>6405.1239999999998</v>
      </c>
      <c r="S59" s="192">
        <f t="shared" si="5"/>
        <v>6687.5280000000012</v>
      </c>
      <c r="U59" s="350"/>
    </row>
    <row r="60" spans="1:21" ht="24.95" customHeight="1">
      <c r="A60" s="193" t="s">
        <v>106</v>
      </c>
      <c r="B60" s="194" t="s">
        <v>16</v>
      </c>
      <c r="C60" s="195" t="s">
        <v>221</v>
      </c>
      <c r="D60" s="190">
        <v>83554</v>
      </c>
      <c r="E60" s="190">
        <v>2463</v>
      </c>
      <c r="F60" s="190">
        <v>14871</v>
      </c>
      <c r="G60" s="190">
        <v>3004</v>
      </c>
      <c r="H60" s="190">
        <v>48947</v>
      </c>
      <c r="I60" s="190">
        <v>14269</v>
      </c>
      <c r="J60" s="190">
        <f t="shared" si="0"/>
        <v>66822</v>
      </c>
      <c r="K60" s="329">
        <v>4.5999999999999999E-2</v>
      </c>
      <c r="L60" s="329">
        <v>0.16800000000000001</v>
      </c>
      <c r="M60" s="330">
        <v>0.13600000000000001</v>
      </c>
      <c r="N60" s="191">
        <f t="shared" si="1"/>
        <v>113.298</v>
      </c>
      <c r="O60" s="192">
        <f t="shared" si="2"/>
        <v>684.06600000000003</v>
      </c>
      <c r="P60" s="192">
        <f t="shared" si="2"/>
        <v>504.67200000000003</v>
      </c>
      <c r="Q60" s="192">
        <f t="shared" si="3"/>
        <v>8223.0960000000014</v>
      </c>
      <c r="R60" s="192">
        <f t="shared" si="4"/>
        <v>8727.7680000000018</v>
      </c>
      <c r="S60" s="192">
        <f t="shared" si="5"/>
        <v>9087.7920000000013</v>
      </c>
      <c r="U60" s="350"/>
    </row>
    <row r="61" spans="1:21" ht="24.95" customHeight="1">
      <c r="A61" s="193" t="s">
        <v>130</v>
      </c>
      <c r="B61" s="194" t="s">
        <v>428</v>
      </c>
      <c r="C61" s="195" t="s">
        <v>222</v>
      </c>
      <c r="D61" s="190">
        <v>35411</v>
      </c>
      <c r="E61" s="190">
        <v>1092</v>
      </c>
      <c r="F61" s="190">
        <v>5488</v>
      </c>
      <c r="G61" s="190">
        <v>1205</v>
      </c>
      <c r="H61" s="190">
        <v>17661</v>
      </c>
      <c r="I61" s="190">
        <v>9965</v>
      </c>
      <c r="J61" s="190">
        <f t="shared" si="0"/>
        <v>24354</v>
      </c>
      <c r="K61" s="329">
        <v>7.9000000000000001E-2</v>
      </c>
      <c r="L61" s="329">
        <v>0.21199999999999999</v>
      </c>
      <c r="M61" s="330">
        <v>0.17699999999999999</v>
      </c>
      <c r="N61" s="191">
        <f t="shared" si="1"/>
        <v>86.268000000000001</v>
      </c>
      <c r="O61" s="192">
        <f t="shared" si="2"/>
        <v>433.55200000000002</v>
      </c>
      <c r="P61" s="192">
        <f t="shared" si="2"/>
        <v>255.45999999999998</v>
      </c>
      <c r="Q61" s="192">
        <f t="shared" si="3"/>
        <v>3744.1320000000001</v>
      </c>
      <c r="R61" s="192">
        <f t="shared" si="4"/>
        <v>3999.5920000000001</v>
      </c>
      <c r="S61" s="192">
        <f t="shared" si="5"/>
        <v>4310.6579999999994</v>
      </c>
      <c r="U61" s="350"/>
    </row>
    <row r="62" spans="1:21" ht="24.95" customHeight="1">
      <c r="A62" s="193" t="s">
        <v>131</v>
      </c>
      <c r="B62" s="194" t="s">
        <v>428</v>
      </c>
      <c r="C62" s="195" t="s">
        <v>221</v>
      </c>
      <c r="D62" s="190">
        <v>21971</v>
      </c>
      <c r="E62" s="190">
        <v>631</v>
      </c>
      <c r="F62" s="190">
        <v>3347</v>
      </c>
      <c r="G62" s="190">
        <v>1252</v>
      </c>
      <c r="H62" s="190">
        <v>11935</v>
      </c>
      <c r="I62" s="190">
        <v>4806</v>
      </c>
      <c r="J62" s="190">
        <f t="shared" si="0"/>
        <v>16534</v>
      </c>
      <c r="K62" s="329">
        <v>4.8000000000000001E-2</v>
      </c>
      <c r="L62" s="329">
        <v>0.14699999999999999</v>
      </c>
      <c r="M62" s="330">
        <v>0.12300000000000001</v>
      </c>
      <c r="N62" s="191">
        <f t="shared" si="1"/>
        <v>30.288</v>
      </c>
      <c r="O62" s="192">
        <f t="shared" si="2"/>
        <v>160.65600000000001</v>
      </c>
      <c r="P62" s="192">
        <f t="shared" si="2"/>
        <v>184.04399999999998</v>
      </c>
      <c r="Q62" s="192">
        <f t="shared" si="3"/>
        <v>1754.4449999999999</v>
      </c>
      <c r="R62" s="192">
        <f t="shared" si="4"/>
        <v>1938.489</v>
      </c>
      <c r="S62" s="192">
        <f t="shared" si="5"/>
        <v>2033.6820000000002</v>
      </c>
      <c r="U62" s="350"/>
    </row>
    <row r="63" spans="1:21" ht="24.95" customHeight="1">
      <c r="A63" s="193" t="s">
        <v>80</v>
      </c>
      <c r="B63" s="194" t="s">
        <v>381</v>
      </c>
      <c r="C63" s="195" t="s">
        <v>222</v>
      </c>
      <c r="D63" s="190">
        <v>23555</v>
      </c>
      <c r="E63" s="190">
        <v>808</v>
      </c>
      <c r="F63" s="190">
        <v>4074</v>
      </c>
      <c r="G63" s="190">
        <v>725</v>
      </c>
      <c r="H63" s="190">
        <v>12869</v>
      </c>
      <c r="I63" s="190">
        <v>5079</v>
      </c>
      <c r="J63" s="190">
        <f t="shared" si="0"/>
        <v>17668</v>
      </c>
      <c r="K63" s="329">
        <v>4.7E-2</v>
      </c>
      <c r="L63" s="329">
        <v>0.15</v>
      </c>
      <c r="M63" s="330">
        <v>0.12300000000000001</v>
      </c>
      <c r="N63" s="191">
        <f t="shared" si="1"/>
        <v>37.975999999999999</v>
      </c>
      <c r="O63" s="192">
        <f t="shared" si="2"/>
        <v>191.47800000000001</v>
      </c>
      <c r="P63" s="192">
        <f t="shared" si="2"/>
        <v>108.75</v>
      </c>
      <c r="Q63" s="192">
        <f t="shared" si="3"/>
        <v>1930.35</v>
      </c>
      <c r="R63" s="192">
        <f t="shared" si="4"/>
        <v>2039.1</v>
      </c>
      <c r="S63" s="192">
        <f t="shared" si="5"/>
        <v>2173.1640000000002</v>
      </c>
      <c r="U63" s="350"/>
    </row>
    <row r="64" spans="1:21" ht="24.95" customHeight="1">
      <c r="A64" s="193" t="s">
        <v>132</v>
      </c>
      <c r="B64" s="194" t="s">
        <v>428</v>
      </c>
      <c r="C64" s="195" t="s">
        <v>222</v>
      </c>
      <c r="D64" s="190">
        <v>45623</v>
      </c>
      <c r="E64" s="190">
        <v>1392</v>
      </c>
      <c r="F64" s="190">
        <v>7808</v>
      </c>
      <c r="G64" s="190">
        <v>1592</v>
      </c>
      <c r="H64" s="190">
        <v>25702</v>
      </c>
      <c r="I64" s="190">
        <v>9129</v>
      </c>
      <c r="J64" s="190">
        <f t="shared" si="0"/>
        <v>35102</v>
      </c>
      <c r="K64" s="329">
        <v>4.4000000000000004E-2</v>
      </c>
      <c r="L64" s="329">
        <v>0.155</v>
      </c>
      <c r="M64" s="330">
        <v>0.126</v>
      </c>
      <c r="N64" s="191">
        <f t="shared" si="1"/>
        <v>61.248000000000005</v>
      </c>
      <c r="O64" s="192">
        <f t="shared" si="2"/>
        <v>343.55200000000002</v>
      </c>
      <c r="P64" s="192">
        <f t="shared" si="2"/>
        <v>246.76</v>
      </c>
      <c r="Q64" s="192">
        <f t="shared" si="3"/>
        <v>3983.81</v>
      </c>
      <c r="R64" s="192">
        <f t="shared" si="4"/>
        <v>4230.57</v>
      </c>
      <c r="S64" s="192">
        <f t="shared" si="5"/>
        <v>4422.8519999999999</v>
      </c>
      <c r="U64" s="350"/>
    </row>
    <row r="65" spans="1:21" ht="24.95" customHeight="1">
      <c r="A65" s="193" t="s">
        <v>100</v>
      </c>
      <c r="B65" s="194" t="s">
        <v>14</v>
      </c>
      <c r="C65" s="195" t="s">
        <v>221</v>
      </c>
      <c r="D65" s="190">
        <v>1077874</v>
      </c>
      <c r="E65" s="190">
        <v>44533</v>
      </c>
      <c r="F65" s="190">
        <v>214445</v>
      </c>
      <c r="G65" s="190">
        <v>37880</v>
      </c>
      <c r="H65" s="190">
        <v>663223</v>
      </c>
      <c r="I65" s="190">
        <v>117793</v>
      </c>
      <c r="J65" s="190">
        <f t="shared" si="0"/>
        <v>915548</v>
      </c>
      <c r="K65" s="329">
        <v>4.2999999999999997E-2</v>
      </c>
      <c r="L65" s="329">
        <v>0.16200000000000001</v>
      </c>
      <c r="M65" s="330">
        <v>0.129</v>
      </c>
      <c r="N65" s="191">
        <f t="shared" si="1"/>
        <v>1914.9189999999999</v>
      </c>
      <c r="O65" s="192">
        <f t="shared" si="2"/>
        <v>9221.1349999999984</v>
      </c>
      <c r="P65" s="192">
        <f t="shared" si="2"/>
        <v>6136.56</v>
      </c>
      <c r="Q65" s="192">
        <f t="shared" si="3"/>
        <v>107442.126</v>
      </c>
      <c r="R65" s="192">
        <f t="shared" si="4"/>
        <v>113578.686</v>
      </c>
      <c r="S65" s="192">
        <f t="shared" si="5"/>
        <v>118105.69200000001</v>
      </c>
      <c r="U65" s="350"/>
    </row>
    <row r="66" spans="1:21" ht="24.95" customHeight="1">
      <c r="A66" s="193" t="s">
        <v>133</v>
      </c>
      <c r="B66" s="194" t="s">
        <v>428</v>
      </c>
      <c r="C66" s="195" t="s">
        <v>222</v>
      </c>
      <c r="D66" s="190">
        <v>15314</v>
      </c>
      <c r="E66" s="190">
        <v>470</v>
      </c>
      <c r="F66" s="190">
        <v>2340</v>
      </c>
      <c r="G66" s="190">
        <v>376</v>
      </c>
      <c r="H66" s="190">
        <v>8476</v>
      </c>
      <c r="I66" s="190">
        <v>3652</v>
      </c>
      <c r="J66" s="190">
        <f t="shared" si="0"/>
        <v>11192</v>
      </c>
      <c r="K66" s="329">
        <v>5.4000000000000006E-2</v>
      </c>
      <c r="L66" s="329">
        <v>0.17399999999999999</v>
      </c>
      <c r="M66" s="330">
        <v>0.14499999999999999</v>
      </c>
      <c r="N66" s="191">
        <f t="shared" si="1"/>
        <v>25.380000000000003</v>
      </c>
      <c r="O66" s="192">
        <f t="shared" si="2"/>
        <v>126.36000000000001</v>
      </c>
      <c r="P66" s="192">
        <f t="shared" si="2"/>
        <v>65.423999999999992</v>
      </c>
      <c r="Q66" s="192">
        <f t="shared" si="3"/>
        <v>1474.8239999999998</v>
      </c>
      <c r="R66" s="192">
        <f t="shared" si="4"/>
        <v>1540.2479999999998</v>
      </c>
      <c r="S66" s="192">
        <f t="shared" si="5"/>
        <v>1622.84</v>
      </c>
      <c r="U66" s="350"/>
    </row>
    <row r="67" spans="1:21" ht="24.95" customHeight="1">
      <c r="A67" s="193" t="s">
        <v>114</v>
      </c>
      <c r="B67" s="194" t="s">
        <v>17</v>
      </c>
      <c r="C67" s="195" t="s">
        <v>222</v>
      </c>
      <c r="D67" s="190">
        <v>27962</v>
      </c>
      <c r="E67" s="190">
        <v>959</v>
      </c>
      <c r="F67" s="190">
        <v>5246</v>
      </c>
      <c r="G67" s="190">
        <v>1108</v>
      </c>
      <c r="H67" s="190">
        <v>15085</v>
      </c>
      <c r="I67" s="190">
        <v>5564</v>
      </c>
      <c r="J67" s="190">
        <f t="shared" si="0"/>
        <v>21439</v>
      </c>
      <c r="K67" s="329">
        <v>6.0999999999999999E-2</v>
      </c>
      <c r="L67" s="329">
        <v>0.215</v>
      </c>
      <c r="M67" s="330">
        <v>0.17</v>
      </c>
      <c r="N67" s="191">
        <f t="shared" si="1"/>
        <v>58.498999999999995</v>
      </c>
      <c r="O67" s="192">
        <f t="shared" si="2"/>
        <v>320.00599999999997</v>
      </c>
      <c r="P67" s="192">
        <f t="shared" si="2"/>
        <v>238.22</v>
      </c>
      <c r="Q67" s="192">
        <f t="shared" si="3"/>
        <v>3243.2750000000001</v>
      </c>
      <c r="R67" s="192">
        <f t="shared" si="4"/>
        <v>3481.4949999999999</v>
      </c>
      <c r="S67" s="192">
        <f t="shared" si="5"/>
        <v>3644.63</v>
      </c>
      <c r="U67" s="350"/>
    </row>
    <row r="68" spans="1:21" ht="24.95" customHeight="1">
      <c r="A68" s="193" t="s">
        <v>115</v>
      </c>
      <c r="B68" s="194" t="s">
        <v>17</v>
      </c>
      <c r="C68" s="195" t="s">
        <v>222</v>
      </c>
      <c r="D68" s="190">
        <v>97081</v>
      </c>
      <c r="E68" s="190">
        <v>3223</v>
      </c>
      <c r="F68" s="190">
        <v>16836</v>
      </c>
      <c r="G68" s="190">
        <v>3232</v>
      </c>
      <c r="H68" s="190">
        <v>48677</v>
      </c>
      <c r="I68" s="190">
        <v>25113</v>
      </c>
      <c r="J68" s="190">
        <f t="shared" si="0"/>
        <v>68745</v>
      </c>
      <c r="K68" s="329">
        <v>5.5E-2</v>
      </c>
      <c r="L68" s="329">
        <v>0.152</v>
      </c>
      <c r="M68" s="330">
        <v>0.125</v>
      </c>
      <c r="N68" s="191">
        <f t="shared" si="1"/>
        <v>177.26500000000001</v>
      </c>
      <c r="O68" s="192">
        <f t="shared" si="2"/>
        <v>925.98</v>
      </c>
      <c r="P68" s="192">
        <f t="shared" si="2"/>
        <v>491.26400000000001</v>
      </c>
      <c r="Q68" s="192">
        <f t="shared" si="3"/>
        <v>7398.9039999999995</v>
      </c>
      <c r="R68" s="192">
        <f t="shared" si="4"/>
        <v>7890.1679999999997</v>
      </c>
      <c r="S68" s="192">
        <f t="shared" si="5"/>
        <v>8593.125</v>
      </c>
      <c r="U68" s="350"/>
    </row>
    <row r="69" spans="1:21" ht="24.95" customHeight="1">
      <c r="A69" s="193" t="s">
        <v>94</v>
      </c>
      <c r="B69" s="194" t="s">
        <v>381</v>
      </c>
      <c r="C69" s="195" t="s">
        <v>221</v>
      </c>
      <c r="D69" s="190">
        <v>94188</v>
      </c>
      <c r="E69" s="190">
        <v>3205</v>
      </c>
      <c r="F69" s="190">
        <v>17111</v>
      </c>
      <c r="G69" s="190">
        <v>3502</v>
      </c>
      <c r="H69" s="190">
        <v>53414</v>
      </c>
      <c r="I69" s="190">
        <v>16956</v>
      </c>
      <c r="J69" s="190">
        <f t="shared" si="0"/>
        <v>74027</v>
      </c>
      <c r="K69" s="329">
        <v>4.2000000000000003E-2</v>
      </c>
      <c r="L69" s="329">
        <v>0.156</v>
      </c>
      <c r="M69" s="330">
        <v>0.124</v>
      </c>
      <c r="N69" s="191">
        <f t="shared" si="1"/>
        <v>134.61000000000001</v>
      </c>
      <c r="O69" s="192">
        <f t="shared" si="2"/>
        <v>718.66200000000003</v>
      </c>
      <c r="P69" s="192">
        <f t="shared" si="2"/>
        <v>546.31200000000001</v>
      </c>
      <c r="Q69" s="192">
        <f t="shared" si="3"/>
        <v>8332.5840000000007</v>
      </c>
      <c r="R69" s="192">
        <f t="shared" si="4"/>
        <v>8878.8960000000006</v>
      </c>
      <c r="S69" s="192">
        <f t="shared" si="5"/>
        <v>9179.348</v>
      </c>
      <c r="U69" s="350"/>
    </row>
    <row r="70" spans="1:21" ht="24.95" customHeight="1">
      <c r="A70" s="193" t="s">
        <v>66</v>
      </c>
      <c r="B70" s="194" t="s">
        <v>381</v>
      </c>
      <c r="C70" s="195" t="s">
        <v>221</v>
      </c>
      <c r="D70" s="190">
        <v>226069</v>
      </c>
      <c r="E70" s="190">
        <v>6982</v>
      </c>
      <c r="F70" s="190">
        <v>35794</v>
      </c>
      <c r="G70" s="190">
        <v>11801</v>
      </c>
      <c r="H70" s="190">
        <v>133471</v>
      </c>
      <c r="I70" s="190">
        <v>38021</v>
      </c>
      <c r="J70" s="190">
        <f t="shared" ref="J70:J105" si="6">SUM(F70:H70)</f>
        <v>181066</v>
      </c>
      <c r="K70" s="329">
        <v>0.04</v>
      </c>
      <c r="L70" s="329">
        <v>0.15</v>
      </c>
      <c r="M70" s="330">
        <v>0.124</v>
      </c>
      <c r="N70" s="191">
        <f t="shared" si="1"/>
        <v>279.28000000000003</v>
      </c>
      <c r="O70" s="192">
        <f t="shared" si="2"/>
        <v>1431.76</v>
      </c>
      <c r="P70" s="192">
        <f t="shared" si="2"/>
        <v>1770.1499999999999</v>
      </c>
      <c r="Q70" s="192">
        <f t="shared" si="3"/>
        <v>20020.649999999998</v>
      </c>
      <c r="R70" s="192">
        <f t="shared" si="4"/>
        <v>21790.799999999999</v>
      </c>
      <c r="S70" s="192">
        <f t="shared" si="5"/>
        <v>22452.184000000001</v>
      </c>
      <c r="U70" s="350"/>
    </row>
    <row r="71" spans="1:21" ht="24.95" customHeight="1">
      <c r="A71" s="193" t="s">
        <v>81</v>
      </c>
      <c r="B71" s="194" t="s">
        <v>381</v>
      </c>
      <c r="C71" s="195" t="s">
        <v>222</v>
      </c>
      <c r="D71" s="190">
        <v>20998</v>
      </c>
      <c r="E71" s="190">
        <v>591</v>
      </c>
      <c r="F71" s="190">
        <v>3342</v>
      </c>
      <c r="G71" s="190">
        <v>535</v>
      </c>
      <c r="H71" s="190">
        <v>11694</v>
      </c>
      <c r="I71" s="190">
        <v>4836</v>
      </c>
      <c r="J71" s="190">
        <f t="shared" si="6"/>
        <v>15571</v>
      </c>
      <c r="K71" s="329">
        <v>4.4000000000000004E-2</v>
      </c>
      <c r="L71" s="329">
        <v>0.154</v>
      </c>
      <c r="M71" s="330">
        <v>0.127</v>
      </c>
      <c r="N71" s="191">
        <f t="shared" ref="N71:N105" si="7">E71*K71</f>
        <v>26.004000000000001</v>
      </c>
      <c r="O71" s="192">
        <f t="shared" ref="O71:P105" si="8">F71*K71</f>
        <v>147.048</v>
      </c>
      <c r="P71" s="192">
        <f t="shared" si="8"/>
        <v>82.39</v>
      </c>
      <c r="Q71" s="192">
        <f t="shared" ref="Q71:Q105" si="9">H71*L71</f>
        <v>1800.876</v>
      </c>
      <c r="R71" s="192">
        <f t="shared" ref="R71:R105" si="10">SUM(P71:Q71)</f>
        <v>1883.2660000000001</v>
      </c>
      <c r="S71" s="192">
        <f t="shared" ref="S71:S105" si="11">J71*M71</f>
        <v>1977.5170000000001</v>
      </c>
      <c r="U71" s="350"/>
    </row>
    <row r="72" spans="1:21" ht="24.95" customHeight="1">
      <c r="A72" s="193" t="s">
        <v>67</v>
      </c>
      <c r="B72" s="194" t="s">
        <v>381</v>
      </c>
      <c r="C72" s="195" t="s">
        <v>221</v>
      </c>
      <c r="D72" s="190">
        <v>199025</v>
      </c>
      <c r="E72" s="190">
        <v>12240</v>
      </c>
      <c r="F72" s="190">
        <v>46406</v>
      </c>
      <c r="G72" s="190">
        <v>14805</v>
      </c>
      <c r="H72" s="190">
        <v>107470</v>
      </c>
      <c r="I72" s="190">
        <v>18104</v>
      </c>
      <c r="J72" s="190">
        <f t="shared" si="6"/>
        <v>168681</v>
      </c>
      <c r="K72" s="329">
        <v>0.03</v>
      </c>
      <c r="L72" s="329">
        <v>0.127</v>
      </c>
      <c r="M72" s="330">
        <v>9.8000000000000004E-2</v>
      </c>
      <c r="N72" s="191">
        <f t="shared" si="7"/>
        <v>367.2</v>
      </c>
      <c r="O72" s="192">
        <f t="shared" si="8"/>
        <v>1392.1799999999998</v>
      </c>
      <c r="P72" s="192">
        <f t="shared" si="8"/>
        <v>1880.2350000000001</v>
      </c>
      <c r="Q72" s="192">
        <f t="shared" si="9"/>
        <v>13648.69</v>
      </c>
      <c r="R72" s="192">
        <f t="shared" si="10"/>
        <v>15528.925000000001</v>
      </c>
      <c r="S72" s="192">
        <f t="shared" si="11"/>
        <v>16530.738000000001</v>
      </c>
      <c r="U72" s="350"/>
    </row>
    <row r="73" spans="1:21" ht="24.95" customHeight="1">
      <c r="A73" s="193" t="s">
        <v>53</v>
      </c>
      <c r="B73" s="194" t="s">
        <v>14</v>
      </c>
      <c r="C73" s="195" t="s">
        <v>221</v>
      </c>
      <c r="D73" s="190">
        <v>143264</v>
      </c>
      <c r="E73" s="190">
        <v>3728</v>
      </c>
      <c r="F73" s="190">
        <v>23024</v>
      </c>
      <c r="G73" s="190">
        <v>12252</v>
      </c>
      <c r="H73" s="190">
        <v>85022</v>
      </c>
      <c r="I73" s="190">
        <v>19238</v>
      </c>
      <c r="J73" s="190">
        <f t="shared" si="6"/>
        <v>120298</v>
      </c>
      <c r="K73" s="329">
        <v>4.9000000000000002E-2</v>
      </c>
      <c r="L73" s="329">
        <v>0.12300000000000001</v>
      </c>
      <c r="M73" s="330">
        <v>0.10400000000000001</v>
      </c>
      <c r="N73" s="191">
        <f t="shared" si="7"/>
        <v>182.672</v>
      </c>
      <c r="O73" s="192">
        <f t="shared" si="8"/>
        <v>1128.1759999999999</v>
      </c>
      <c r="P73" s="192">
        <f t="shared" si="8"/>
        <v>1506.9960000000001</v>
      </c>
      <c r="Q73" s="192">
        <f t="shared" si="9"/>
        <v>10457.706</v>
      </c>
      <c r="R73" s="192">
        <f t="shared" si="10"/>
        <v>11964.702000000001</v>
      </c>
      <c r="S73" s="192">
        <f t="shared" si="11"/>
        <v>12510.992</v>
      </c>
      <c r="U73" s="350"/>
    </row>
    <row r="74" spans="1:21" ht="24.95" customHeight="1">
      <c r="A74" s="193" t="s">
        <v>82</v>
      </c>
      <c r="B74" s="194" t="s">
        <v>381</v>
      </c>
      <c r="C74" s="195" t="s">
        <v>221</v>
      </c>
      <c r="D74" s="190">
        <v>13184</v>
      </c>
      <c r="E74" s="190">
        <v>304</v>
      </c>
      <c r="F74" s="190">
        <v>1774</v>
      </c>
      <c r="G74" s="190">
        <v>337</v>
      </c>
      <c r="H74" s="190">
        <v>7065</v>
      </c>
      <c r="I74" s="190">
        <v>3704</v>
      </c>
      <c r="J74" s="190">
        <f t="shared" si="6"/>
        <v>9176</v>
      </c>
      <c r="K74" s="329">
        <v>7.5999999999999998E-2</v>
      </c>
      <c r="L74" s="329">
        <v>0.151</v>
      </c>
      <c r="M74" s="330">
        <v>0.13200000000000001</v>
      </c>
      <c r="N74" s="191">
        <f t="shared" si="7"/>
        <v>23.103999999999999</v>
      </c>
      <c r="O74" s="192">
        <f t="shared" si="8"/>
        <v>134.82399999999998</v>
      </c>
      <c r="P74" s="192">
        <f t="shared" si="8"/>
        <v>50.887</v>
      </c>
      <c r="Q74" s="192">
        <f t="shared" si="9"/>
        <v>1066.8150000000001</v>
      </c>
      <c r="R74" s="192">
        <f t="shared" si="10"/>
        <v>1117.702</v>
      </c>
      <c r="S74" s="192">
        <f t="shared" si="11"/>
        <v>1211.232</v>
      </c>
      <c r="U74" s="350"/>
    </row>
    <row r="75" spans="1:21" ht="24.95" customHeight="1">
      <c r="A75" s="193" t="s">
        <v>83</v>
      </c>
      <c r="B75" s="194" t="s">
        <v>381</v>
      </c>
      <c r="C75" s="195" t="s">
        <v>222</v>
      </c>
      <c r="D75" s="190">
        <v>40112</v>
      </c>
      <c r="E75" s="190">
        <v>1498</v>
      </c>
      <c r="F75" s="190">
        <v>7712</v>
      </c>
      <c r="G75" s="190">
        <v>2282</v>
      </c>
      <c r="H75" s="190">
        <v>22474</v>
      </c>
      <c r="I75" s="190">
        <v>6146</v>
      </c>
      <c r="J75" s="190">
        <f t="shared" si="6"/>
        <v>32468</v>
      </c>
      <c r="K75" s="329">
        <v>4.4000000000000004E-2</v>
      </c>
      <c r="L75" s="329">
        <v>0.14899999999999999</v>
      </c>
      <c r="M75" s="330">
        <v>0.11900000000000001</v>
      </c>
      <c r="N75" s="191">
        <f t="shared" si="7"/>
        <v>65.912000000000006</v>
      </c>
      <c r="O75" s="192">
        <f t="shared" si="8"/>
        <v>339.32800000000003</v>
      </c>
      <c r="P75" s="192">
        <f t="shared" si="8"/>
        <v>340.01799999999997</v>
      </c>
      <c r="Q75" s="192">
        <f t="shared" si="9"/>
        <v>3348.6259999999997</v>
      </c>
      <c r="R75" s="192">
        <f t="shared" si="10"/>
        <v>3688.6439999999998</v>
      </c>
      <c r="S75" s="192">
        <f t="shared" si="11"/>
        <v>3863.6920000000005</v>
      </c>
      <c r="U75" s="350"/>
    </row>
    <row r="76" spans="1:21" ht="24.95" customHeight="1">
      <c r="A76" s="193" t="s">
        <v>68</v>
      </c>
      <c r="B76" s="194" t="s">
        <v>381</v>
      </c>
      <c r="C76" s="195" t="s">
        <v>221</v>
      </c>
      <c r="D76" s="190">
        <v>60408</v>
      </c>
      <c r="E76" s="190">
        <v>1926</v>
      </c>
      <c r="F76" s="190">
        <v>10609</v>
      </c>
      <c r="G76" s="190">
        <v>2307</v>
      </c>
      <c r="H76" s="190">
        <v>34797</v>
      </c>
      <c r="I76" s="190">
        <v>10769</v>
      </c>
      <c r="J76" s="190">
        <f t="shared" si="6"/>
        <v>47713</v>
      </c>
      <c r="K76" s="329">
        <v>5.5999999999999994E-2</v>
      </c>
      <c r="L76" s="329">
        <v>0.17800000000000002</v>
      </c>
      <c r="M76" s="330">
        <v>0.14400000000000002</v>
      </c>
      <c r="N76" s="191">
        <f t="shared" si="7"/>
        <v>107.85599999999999</v>
      </c>
      <c r="O76" s="192">
        <f t="shared" si="8"/>
        <v>594.10399999999993</v>
      </c>
      <c r="P76" s="192">
        <f t="shared" si="8"/>
        <v>410.64600000000007</v>
      </c>
      <c r="Q76" s="192">
        <f t="shared" si="9"/>
        <v>6193.8660000000009</v>
      </c>
      <c r="R76" s="192">
        <f t="shared" si="10"/>
        <v>6604.5120000000006</v>
      </c>
      <c r="S76" s="192">
        <f t="shared" si="11"/>
        <v>6870.6720000000005</v>
      </c>
      <c r="U76" s="350"/>
    </row>
    <row r="77" spans="1:21" ht="24.95" customHeight="1">
      <c r="A77" s="193" t="s">
        <v>84</v>
      </c>
      <c r="B77" s="194" t="s">
        <v>381</v>
      </c>
      <c r="C77" s="195" t="s">
        <v>222</v>
      </c>
      <c r="D77" s="190">
        <v>13779</v>
      </c>
      <c r="E77" s="190">
        <v>390</v>
      </c>
      <c r="F77" s="190">
        <v>2204</v>
      </c>
      <c r="G77" s="190">
        <v>412</v>
      </c>
      <c r="H77" s="190">
        <v>7143</v>
      </c>
      <c r="I77" s="190">
        <v>3630</v>
      </c>
      <c r="J77" s="190">
        <f t="shared" si="6"/>
        <v>9759</v>
      </c>
      <c r="K77" s="329">
        <v>5.5999999999999994E-2</v>
      </c>
      <c r="L77" s="329">
        <v>0.14899999999999999</v>
      </c>
      <c r="M77" s="330">
        <v>0.124</v>
      </c>
      <c r="N77" s="191">
        <f t="shared" si="7"/>
        <v>21.839999999999996</v>
      </c>
      <c r="O77" s="192">
        <f t="shared" si="8"/>
        <v>123.42399999999999</v>
      </c>
      <c r="P77" s="192">
        <f t="shared" si="8"/>
        <v>61.387999999999998</v>
      </c>
      <c r="Q77" s="192">
        <f t="shared" si="9"/>
        <v>1064.307</v>
      </c>
      <c r="R77" s="192">
        <f t="shared" si="10"/>
        <v>1125.6949999999999</v>
      </c>
      <c r="S77" s="192">
        <f t="shared" si="11"/>
        <v>1210.116</v>
      </c>
      <c r="U77" s="350"/>
    </row>
    <row r="78" spans="1:21" ht="24.95" customHeight="1">
      <c r="A78" s="193" t="s">
        <v>54</v>
      </c>
      <c r="B78" s="194" t="s">
        <v>14</v>
      </c>
      <c r="C78" s="195" t="s">
        <v>221</v>
      </c>
      <c r="D78" s="190">
        <v>39845</v>
      </c>
      <c r="E78" s="190">
        <v>1337</v>
      </c>
      <c r="F78" s="190">
        <v>7106</v>
      </c>
      <c r="G78" s="190">
        <v>1236</v>
      </c>
      <c r="H78" s="190">
        <v>22724</v>
      </c>
      <c r="I78" s="190">
        <v>7442</v>
      </c>
      <c r="J78" s="190">
        <f t="shared" si="6"/>
        <v>31066</v>
      </c>
      <c r="K78" s="329">
        <v>4.2999999999999997E-2</v>
      </c>
      <c r="L78" s="329">
        <v>0.14400000000000002</v>
      </c>
      <c r="M78" s="330">
        <v>0.11699999999999999</v>
      </c>
      <c r="N78" s="191">
        <f t="shared" si="7"/>
        <v>57.490999999999993</v>
      </c>
      <c r="O78" s="192">
        <f t="shared" si="8"/>
        <v>305.55799999999999</v>
      </c>
      <c r="P78" s="192">
        <f t="shared" si="8"/>
        <v>177.98400000000001</v>
      </c>
      <c r="Q78" s="192">
        <f t="shared" si="9"/>
        <v>3272.2560000000003</v>
      </c>
      <c r="R78" s="192">
        <f t="shared" si="10"/>
        <v>3450.2400000000002</v>
      </c>
      <c r="S78" s="192">
        <f t="shared" si="11"/>
        <v>3634.7219999999998</v>
      </c>
      <c r="U78" s="350"/>
    </row>
    <row r="79" spans="1:21" ht="24.95" customHeight="1">
      <c r="A79" s="193" t="s">
        <v>85</v>
      </c>
      <c r="B79" s="194" t="s">
        <v>381</v>
      </c>
      <c r="C79" s="195" t="s">
        <v>221</v>
      </c>
      <c r="D79" s="190">
        <v>177093</v>
      </c>
      <c r="E79" s="190">
        <v>6390</v>
      </c>
      <c r="F79" s="190">
        <v>32558</v>
      </c>
      <c r="G79" s="190">
        <v>14922</v>
      </c>
      <c r="H79" s="190">
        <v>101087</v>
      </c>
      <c r="I79" s="190">
        <v>22136</v>
      </c>
      <c r="J79" s="190">
        <f t="shared" si="6"/>
        <v>148567</v>
      </c>
      <c r="K79" s="329">
        <v>0.04</v>
      </c>
      <c r="L79" s="329">
        <v>0.154</v>
      </c>
      <c r="M79" s="330">
        <v>0.125</v>
      </c>
      <c r="N79" s="191">
        <f t="shared" si="7"/>
        <v>255.6</v>
      </c>
      <c r="O79" s="192">
        <f t="shared" si="8"/>
        <v>1302.32</v>
      </c>
      <c r="P79" s="192">
        <f t="shared" si="8"/>
        <v>2297.9879999999998</v>
      </c>
      <c r="Q79" s="192">
        <f t="shared" si="9"/>
        <v>15567.397999999999</v>
      </c>
      <c r="R79" s="192">
        <f t="shared" si="10"/>
        <v>17865.385999999999</v>
      </c>
      <c r="S79" s="192">
        <f t="shared" si="11"/>
        <v>18570.875</v>
      </c>
      <c r="U79" s="350"/>
    </row>
    <row r="80" spans="1:21" ht="24.95" customHeight="1">
      <c r="A80" s="193" t="s">
        <v>134</v>
      </c>
      <c r="B80" s="194" t="s">
        <v>428</v>
      </c>
      <c r="C80" s="195" t="s">
        <v>222</v>
      </c>
      <c r="D80" s="190">
        <v>21020</v>
      </c>
      <c r="E80" s="190">
        <v>481</v>
      </c>
      <c r="F80" s="190">
        <v>2971</v>
      </c>
      <c r="G80" s="190">
        <v>586</v>
      </c>
      <c r="H80" s="190">
        <v>10908</v>
      </c>
      <c r="I80" s="190">
        <v>6074</v>
      </c>
      <c r="J80" s="190">
        <f t="shared" si="6"/>
        <v>14465</v>
      </c>
      <c r="K80" s="329">
        <v>7.2000000000000008E-2</v>
      </c>
      <c r="L80" s="329">
        <v>0.157</v>
      </c>
      <c r="M80" s="330">
        <v>0.13600000000000001</v>
      </c>
      <c r="N80" s="191">
        <f t="shared" si="7"/>
        <v>34.632000000000005</v>
      </c>
      <c r="O80" s="192">
        <f t="shared" si="8"/>
        <v>213.91200000000003</v>
      </c>
      <c r="P80" s="192">
        <f t="shared" si="8"/>
        <v>92.001999999999995</v>
      </c>
      <c r="Q80" s="192">
        <f t="shared" si="9"/>
        <v>1712.556</v>
      </c>
      <c r="R80" s="192">
        <f t="shared" si="10"/>
        <v>1804.558</v>
      </c>
      <c r="S80" s="192">
        <f t="shared" si="11"/>
        <v>1967.2400000000002</v>
      </c>
      <c r="U80" s="350"/>
    </row>
    <row r="81" spans="1:21" ht="24.95" customHeight="1">
      <c r="A81" s="193" t="s">
        <v>116</v>
      </c>
      <c r="B81" s="194" t="s">
        <v>17</v>
      </c>
      <c r="C81" s="195" t="s">
        <v>221</v>
      </c>
      <c r="D81" s="190">
        <v>143239</v>
      </c>
      <c r="E81" s="190">
        <v>4771</v>
      </c>
      <c r="F81" s="190">
        <v>27121</v>
      </c>
      <c r="G81" s="190">
        <v>5936</v>
      </c>
      <c r="H81" s="190">
        <v>81011</v>
      </c>
      <c r="I81" s="190">
        <v>24400</v>
      </c>
      <c r="J81" s="190">
        <f t="shared" si="6"/>
        <v>114068</v>
      </c>
      <c r="K81" s="329">
        <v>5.9000000000000004E-2</v>
      </c>
      <c r="L81" s="329">
        <v>0.2</v>
      </c>
      <c r="M81" s="330">
        <v>0.161</v>
      </c>
      <c r="N81" s="191">
        <f t="shared" si="7"/>
        <v>281.48900000000003</v>
      </c>
      <c r="O81" s="192">
        <f t="shared" si="8"/>
        <v>1600.1390000000001</v>
      </c>
      <c r="P81" s="192">
        <f t="shared" si="8"/>
        <v>1187.2</v>
      </c>
      <c r="Q81" s="192">
        <f t="shared" si="9"/>
        <v>16202.2</v>
      </c>
      <c r="R81" s="192">
        <f t="shared" si="10"/>
        <v>17389.400000000001</v>
      </c>
      <c r="S81" s="192">
        <f t="shared" si="11"/>
        <v>18364.948</v>
      </c>
      <c r="U81" s="350"/>
    </row>
    <row r="82" spans="1:21" ht="24.95" customHeight="1">
      <c r="A82" s="193" t="s">
        <v>117</v>
      </c>
      <c r="B82" s="194" t="s">
        <v>17</v>
      </c>
      <c r="C82" s="195" t="s">
        <v>222</v>
      </c>
      <c r="D82" s="190">
        <v>45240</v>
      </c>
      <c r="E82" s="190">
        <v>1604</v>
      </c>
      <c r="F82" s="190">
        <v>8748</v>
      </c>
      <c r="G82" s="190">
        <v>2157</v>
      </c>
      <c r="H82" s="190">
        <v>24896</v>
      </c>
      <c r="I82" s="190">
        <v>7835</v>
      </c>
      <c r="J82" s="190">
        <f t="shared" si="6"/>
        <v>35801</v>
      </c>
      <c r="K82" s="329">
        <v>4.7E-2</v>
      </c>
      <c r="L82" s="329">
        <v>0.19399999999999998</v>
      </c>
      <c r="M82" s="330">
        <v>0.152</v>
      </c>
      <c r="N82" s="191">
        <f t="shared" si="7"/>
        <v>75.388000000000005</v>
      </c>
      <c r="O82" s="192">
        <f t="shared" si="8"/>
        <v>411.15600000000001</v>
      </c>
      <c r="P82" s="192">
        <f t="shared" si="8"/>
        <v>418.45799999999997</v>
      </c>
      <c r="Q82" s="192">
        <f t="shared" si="9"/>
        <v>4829.8239999999996</v>
      </c>
      <c r="R82" s="192">
        <f t="shared" si="10"/>
        <v>5248.2819999999992</v>
      </c>
      <c r="S82" s="192">
        <f t="shared" si="11"/>
        <v>5441.7519999999995</v>
      </c>
      <c r="U82" s="350"/>
    </row>
    <row r="83" spans="1:21" ht="24.95" customHeight="1">
      <c r="A83" s="193" t="s">
        <v>95</v>
      </c>
      <c r="B83" s="194" t="s">
        <v>15</v>
      </c>
      <c r="C83" s="195" t="s">
        <v>222</v>
      </c>
      <c r="D83" s="190">
        <v>132859</v>
      </c>
      <c r="E83" s="190">
        <v>5236</v>
      </c>
      <c r="F83" s="190">
        <v>27334</v>
      </c>
      <c r="G83" s="190">
        <v>7825</v>
      </c>
      <c r="H83" s="190">
        <v>73311</v>
      </c>
      <c r="I83" s="190">
        <v>19153</v>
      </c>
      <c r="J83" s="190">
        <f t="shared" si="6"/>
        <v>108470</v>
      </c>
      <c r="K83" s="329">
        <v>5.2000000000000005E-2</v>
      </c>
      <c r="L83" s="329">
        <v>0.26</v>
      </c>
      <c r="M83" s="330">
        <v>0.19600000000000001</v>
      </c>
      <c r="N83" s="191">
        <f t="shared" si="7"/>
        <v>272.27200000000005</v>
      </c>
      <c r="O83" s="192">
        <f t="shared" si="8"/>
        <v>1421.3680000000002</v>
      </c>
      <c r="P83" s="192">
        <f t="shared" si="8"/>
        <v>2034.5</v>
      </c>
      <c r="Q83" s="192">
        <f t="shared" si="9"/>
        <v>19060.86</v>
      </c>
      <c r="R83" s="192">
        <f t="shared" si="10"/>
        <v>21095.360000000001</v>
      </c>
      <c r="S83" s="192">
        <f t="shared" si="11"/>
        <v>21260.120000000003</v>
      </c>
      <c r="U83" s="350"/>
    </row>
    <row r="84" spans="1:21" ht="24.95" customHeight="1">
      <c r="A84" s="193" t="s">
        <v>62</v>
      </c>
      <c r="B84" s="194" t="s">
        <v>14</v>
      </c>
      <c r="C84" s="195" t="s">
        <v>221</v>
      </c>
      <c r="D84" s="190">
        <v>91876</v>
      </c>
      <c r="E84" s="190">
        <v>2914</v>
      </c>
      <c r="F84" s="190">
        <v>15898</v>
      </c>
      <c r="G84" s="190">
        <v>3171</v>
      </c>
      <c r="H84" s="190">
        <v>52101</v>
      </c>
      <c r="I84" s="190">
        <v>17792</v>
      </c>
      <c r="J84" s="190">
        <f t="shared" si="6"/>
        <v>71170</v>
      </c>
      <c r="K84" s="329">
        <v>4.7E-2</v>
      </c>
      <c r="L84" s="329">
        <v>0.16200000000000001</v>
      </c>
      <c r="M84" s="330">
        <v>0.13200000000000001</v>
      </c>
      <c r="N84" s="191">
        <f t="shared" si="7"/>
        <v>136.958</v>
      </c>
      <c r="O84" s="192">
        <f t="shared" si="8"/>
        <v>747.20600000000002</v>
      </c>
      <c r="P84" s="192">
        <f t="shared" si="8"/>
        <v>513.702</v>
      </c>
      <c r="Q84" s="192">
        <f t="shared" si="9"/>
        <v>8440.362000000001</v>
      </c>
      <c r="R84" s="192">
        <f t="shared" si="10"/>
        <v>8954.0640000000003</v>
      </c>
      <c r="S84" s="192">
        <f t="shared" si="11"/>
        <v>9394.44</v>
      </c>
      <c r="U84" s="350"/>
    </row>
    <row r="85" spans="1:21" ht="24.95" customHeight="1">
      <c r="A85" s="193" t="s">
        <v>55</v>
      </c>
      <c r="B85" s="194" t="s">
        <v>14</v>
      </c>
      <c r="C85" s="195" t="s">
        <v>221</v>
      </c>
      <c r="D85" s="190">
        <v>141806</v>
      </c>
      <c r="E85" s="190">
        <v>4718</v>
      </c>
      <c r="F85" s="190">
        <v>27013</v>
      </c>
      <c r="G85" s="190">
        <v>5721</v>
      </c>
      <c r="H85" s="190">
        <v>80489</v>
      </c>
      <c r="I85" s="190">
        <v>23865</v>
      </c>
      <c r="J85" s="190">
        <f t="shared" si="6"/>
        <v>113223</v>
      </c>
      <c r="K85" s="329">
        <v>4.5999999999999999E-2</v>
      </c>
      <c r="L85" s="329">
        <v>0.17399999999999999</v>
      </c>
      <c r="M85" s="330">
        <v>0.13900000000000001</v>
      </c>
      <c r="N85" s="191">
        <f t="shared" si="7"/>
        <v>217.02799999999999</v>
      </c>
      <c r="O85" s="192">
        <f t="shared" si="8"/>
        <v>1242.598</v>
      </c>
      <c r="P85" s="192">
        <f t="shared" si="8"/>
        <v>995.45399999999995</v>
      </c>
      <c r="Q85" s="192">
        <f t="shared" si="9"/>
        <v>14005.085999999999</v>
      </c>
      <c r="R85" s="192">
        <f t="shared" si="10"/>
        <v>15000.539999999999</v>
      </c>
      <c r="S85" s="192">
        <f t="shared" si="11"/>
        <v>15737.997000000001</v>
      </c>
      <c r="U85" s="350"/>
    </row>
    <row r="86" spans="1:21" ht="24.95" customHeight="1">
      <c r="A86" s="193" t="s">
        <v>135</v>
      </c>
      <c r="B86" s="194" t="s">
        <v>428</v>
      </c>
      <c r="C86" s="195" t="s">
        <v>222</v>
      </c>
      <c r="D86" s="190">
        <v>67735</v>
      </c>
      <c r="E86" s="190">
        <v>2186</v>
      </c>
      <c r="F86" s="190">
        <v>11873</v>
      </c>
      <c r="G86" s="190">
        <v>2339</v>
      </c>
      <c r="H86" s="190">
        <v>37478</v>
      </c>
      <c r="I86" s="190">
        <v>13859</v>
      </c>
      <c r="J86" s="190">
        <f t="shared" si="6"/>
        <v>51690</v>
      </c>
      <c r="K86" s="329">
        <v>3.9E-2</v>
      </c>
      <c r="L86" s="329">
        <v>0.16600000000000001</v>
      </c>
      <c r="M86" s="330">
        <v>0.13200000000000001</v>
      </c>
      <c r="N86" s="191">
        <f t="shared" si="7"/>
        <v>85.254000000000005</v>
      </c>
      <c r="O86" s="192">
        <f t="shared" si="8"/>
        <v>463.04700000000003</v>
      </c>
      <c r="P86" s="192">
        <f t="shared" si="8"/>
        <v>388.274</v>
      </c>
      <c r="Q86" s="192">
        <f t="shared" si="9"/>
        <v>6221.348</v>
      </c>
      <c r="R86" s="192">
        <f t="shared" si="10"/>
        <v>6609.6220000000003</v>
      </c>
      <c r="S86" s="192">
        <f t="shared" si="11"/>
        <v>6823.08</v>
      </c>
      <c r="U86" s="350"/>
    </row>
    <row r="87" spans="1:21" ht="24.95" customHeight="1">
      <c r="A87" s="193" t="s">
        <v>96</v>
      </c>
      <c r="B87" s="194" t="s">
        <v>15</v>
      </c>
      <c r="C87" s="195" t="s">
        <v>222</v>
      </c>
      <c r="D87" s="190">
        <v>63994</v>
      </c>
      <c r="E87" s="190">
        <v>2466</v>
      </c>
      <c r="F87" s="190">
        <v>13227</v>
      </c>
      <c r="G87" s="190">
        <v>2654</v>
      </c>
      <c r="H87" s="190">
        <v>34779</v>
      </c>
      <c r="I87" s="190">
        <v>10868</v>
      </c>
      <c r="J87" s="190">
        <f t="shared" si="6"/>
        <v>50660</v>
      </c>
      <c r="K87" s="329">
        <v>7.2999999999999995E-2</v>
      </c>
      <c r="L87" s="329">
        <v>0.23699999999999999</v>
      </c>
      <c r="M87" s="330">
        <v>0.188</v>
      </c>
      <c r="N87" s="191">
        <f t="shared" si="7"/>
        <v>180.018</v>
      </c>
      <c r="O87" s="192">
        <f t="shared" si="8"/>
        <v>965.57099999999991</v>
      </c>
      <c r="P87" s="192">
        <f t="shared" si="8"/>
        <v>628.99799999999993</v>
      </c>
      <c r="Q87" s="192">
        <f t="shared" si="9"/>
        <v>8242.6229999999996</v>
      </c>
      <c r="R87" s="192">
        <f t="shared" si="10"/>
        <v>8871.6209999999992</v>
      </c>
      <c r="S87" s="192">
        <f t="shared" si="11"/>
        <v>9524.08</v>
      </c>
      <c r="U87" s="350"/>
    </row>
    <row r="88" spans="1:21" ht="24.95" customHeight="1">
      <c r="A88" s="193" t="s">
        <v>97</v>
      </c>
      <c r="B88" s="194" t="s">
        <v>15</v>
      </c>
      <c r="C88" s="195" t="s">
        <v>222</v>
      </c>
      <c r="D88" s="190">
        <v>35462</v>
      </c>
      <c r="E88" s="190">
        <v>1370</v>
      </c>
      <c r="F88" s="190">
        <v>6945</v>
      </c>
      <c r="G88" s="190">
        <v>1375</v>
      </c>
      <c r="H88" s="190">
        <v>19531</v>
      </c>
      <c r="I88" s="190">
        <v>6241</v>
      </c>
      <c r="J88" s="190">
        <f t="shared" si="6"/>
        <v>27851</v>
      </c>
      <c r="K88" s="329">
        <v>5.0999999999999997E-2</v>
      </c>
      <c r="L88" s="329">
        <v>0.188</v>
      </c>
      <c r="M88" s="330">
        <v>0.14699999999999999</v>
      </c>
      <c r="N88" s="191">
        <f t="shared" si="7"/>
        <v>69.86999999999999</v>
      </c>
      <c r="O88" s="192">
        <f t="shared" si="8"/>
        <v>354.19499999999999</v>
      </c>
      <c r="P88" s="192">
        <f t="shared" si="8"/>
        <v>258.5</v>
      </c>
      <c r="Q88" s="192">
        <f t="shared" si="9"/>
        <v>3671.828</v>
      </c>
      <c r="R88" s="192">
        <f t="shared" si="10"/>
        <v>3930.328</v>
      </c>
      <c r="S88" s="192">
        <f t="shared" si="11"/>
        <v>4094.0969999999998</v>
      </c>
      <c r="U88" s="350"/>
    </row>
    <row r="89" spans="1:21" ht="24.95" customHeight="1">
      <c r="A89" s="193" t="s">
        <v>56</v>
      </c>
      <c r="B89" s="194" t="s">
        <v>14</v>
      </c>
      <c r="C89" s="195" t="s">
        <v>222</v>
      </c>
      <c r="D89" s="190">
        <v>61670</v>
      </c>
      <c r="E89" s="190">
        <v>2048</v>
      </c>
      <c r="F89" s="190">
        <v>10973</v>
      </c>
      <c r="G89" s="190">
        <v>2330</v>
      </c>
      <c r="H89" s="190">
        <v>34926</v>
      </c>
      <c r="I89" s="190">
        <v>11393</v>
      </c>
      <c r="J89" s="190">
        <f t="shared" si="6"/>
        <v>48229</v>
      </c>
      <c r="K89" s="329">
        <v>4.7E-2</v>
      </c>
      <c r="L89" s="329">
        <v>0.158</v>
      </c>
      <c r="M89" s="330">
        <v>0.128</v>
      </c>
      <c r="N89" s="191">
        <f t="shared" si="7"/>
        <v>96.256</v>
      </c>
      <c r="O89" s="192">
        <f t="shared" si="8"/>
        <v>515.73099999999999</v>
      </c>
      <c r="P89" s="192">
        <f t="shared" si="8"/>
        <v>368.14</v>
      </c>
      <c r="Q89" s="192">
        <f t="shared" si="9"/>
        <v>5518.308</v>
      </c>
      <c r="R89" s="192">
        <f t="shared" si="10"/>
        <v>5886.4480000000003</v>
      </c>
      <c r="S89" s="192">
        <f t="shared" si="11"/>
        <v>6173.3119999999999</v>
      </c>
      <c r="U89" s="350"/>
    </row>
    <row r="90" spans="1:21" ht="24.95" customHeight="1">
      <c r="A90" s="193" t="s">
        <v>63</v>
      </c>
      <c r="B90" s="194" t="s">
        <v>14</v>
      </c>
      <c r="C90" s="195" t="s">
        <v>221</v>
      </c>
      <c r="D90" s="190">
        <v>46708</v>
      </c>
      <c r="E90" s="190">
        <v>1322</v>
      </c>
      <c r="F90" s="190">
        <v>7444</v>
      </c>
      <c r="G90" s="190">
        <v>1500</v>
      </c>
      <c r="H90" s="190">
        <v>27275</v>
      </c>
      <c r="I90" s="190">
        <v>9167</v>
      </c>
      <c r="J90" s="190">
        <f t="shared" si="6"/>
        <v>36219</v>
      </c>
      <c r="K90" s="329">
        <v>4.5999999999999999E-2</v>
      </c>
      <c r="L90" s="329">
        <v>0.16200000000000001</v>
      </c>
      <c r="M90" s="330">
        <v>0.13</v>
      </c>
      <c r="N90" s="191">
        <f t="shared" si="7"/>
        <v>60.811999999999998</v>
      </c>
      <c r="O90" s="192">
        <f t="shared" si="8"/>
        <v>342.42399999999998</v>
      </c>
      <c r="P90" s="192">
        <f t="shared" si="8"/>
        <v>243</v>
      </c>
      <c r="Q90" s="192">
        <f t="shared" si="9"/>
        <v>4418.55</v>
      </c>
      <c r="R90" s="192">
        <f t="shared" si="10"/>
        <v>4661.55</v>
      </c>
      <c r="S90" s="192">
        <f t="shared" si="11"/>
        <v>4708.47</v>
      </c>
      <c r="U90" s="350"/>
    </row>
    <row r="91" spans="1:21" ht="24.95" customHeight="1">
      <c r="A91" s="193" t="s">
        <v>107</v>
      </c>
      <c r="B91" s="194" t="s">
        <v>16</v>
      </c>
      <c r="C91" s="195" t="s">
        <v>222</v>
      </c>
      <c r="D91" s="190">
        <v>73196</v>
      </c>
      <c r="E91" s="190">
        <v>2280</v>
      </c>
      <c r="F91" s="190">
        <v>13088</v>
      </c>
      <c r="G91" s="190">
        <v>3116</v>
      </c>
      <c r="H91" s="190">
        <v>40594</v>
      </c>
      <c r="I91" s="190">
        <v>14118</v>
      </c>
      <c r="J91" s="190">
        <f t="shared" si="6"/>
        <v>56798</v>
      </c>
      <c r="K91" s="329">
        <v>4.4999999999999998E-2</v>
      </c>
      <c r="L91" s="329">
        <v>0.155</v>
      </c>
      <c r="M91" s="330">
        <v>0.128</v>
      </c>
      <c r="N91" s="191">
        <f t="shared" si="7"/>
        <v>102.6</v>
      </c>
      <c r="O91" s="192">
        <f t="shared" si="8"/>
        <v>588.95999999999992</v>
      </c>
      <c r="P91" s="192">
        <f t="shared" si="8"/>
        <v>482.98</v>
      </c>
      <c r="Q91" s="192">
        <f t="shared" si="9"/>
        <v>6292.07</v>
      </c>
      <c r="R91" s="192">
        <f t="shared" si="10"/>
        <v>6775.0499999999993</v>
      </c>
      <c r="S91" s="192">
        <f t="shared" si="11"/>
        <v>7270.1440000000002</v>
      </c>
      <c r="U91" s="350"/>
    </row>
    <row r="92" spans="1:21" ht="24.95" customHeight="1">
      <c r="A92" s="193" t="s">
        <v>136</v>
      </c>
      <c r="B92" s="194" t="s">
        <v>428</v>
      </c>
      <c r="C92" s="195" t="s">
        <v>222</v>
      </c>
      <c r="D92" s="190">
        <v>15256</v>
      </c>
      <c r="E92" s="190">
        <v>671</v>
      </c>
      <c r="F92" s="190">
        <v>2928</v>
      </c>
      <c r="G92" s="190">
        <v>502</v>
      </c>
      <c r="H92" s="190">
        <v>8247</v>
      </c>
      <c r="I92" s="190">
        <v>2908</v>
      </c>
      <c r="J92" s="190">
        <f t="shared" si="6"/>
        <v>11677</v>
      </c>
      <c r="K92" s="329">
        <v>6.0999999999999999E-2</v>
      </c>
      <c r="L92" s="329">
        <v>0.19600000000000001</v>
      </c>
      <c r="M92" s="330">
        <v>0.159</v>
      </c>
      <c r="N92" s="191">
        <f t="shared" si="7"/>
        <v>40.930999999999997</v>
      </c>
      <c r="O92" s="192">
        <f t="shared" si="8"/>
        <v>178.608</v>
      </c>
      <c r="P92" s="192">
        <f t="shared" si="8"/>
        <v>98.39200000000001</v>
      </c>
      <c r="Q92" s="192">
        <f t="shared" si="9"/>
        <v>1616.412</v>
      </c>
      <c r="R92" s="192">
        <f t="shared" si="10"/>
        <v>1714.8040000000001</v>
      </c>
      <c r="S92" s="192">
        <f t="shared" si="11"/>
        <v>1856.643</v>
      </c>
      <c r="U92" s="350"/>
    </row>
    <row r="93" spans="1:21" ht="24.95" customHeight="1">
      <c r="A93" s="193" t="s">
        <v>137</v>
      </c>
      <c r="B93" s="194" t="s">
        <v>428</v>
      </c>
      <c r="C93" s="195" t="s">
        <v>222</v>
      </c>
      <c r="D93" s="190">
        <v>34369</v>
      </c>
      <c r="E93" s="190">
        <v>914</v>
      </c>
      <c r="F93" s="190">
        <v>4767</v>
      </c>
      <c r="G93" s="190">
        <v>1329</v>
      </c>
      <c r="H93" s="190">
        <v>16853</v>
      </c>
      <c r="I93" s="190">
        <v>10506</v>
      </c>
      <c r="J93" s="190">
        <f t="shared" si="6"/>
        <v>22949</v>
      </c>
      <c r="K93" s="329">
        <v>7.2000000000000008E-2</v>
      </c>
      <c r="L93" s="329">
        <v>0.221</v>
      </c>
      <c r="M93" s="330">
        <v>0.18</v>
      </c>
      <c r="N93" s="191">
        <f t="shared" si="7"/>
        <v>65.808000000000007</v>
      </c>
      <c r="O93" s="192">
        <f t="shared" si="8"/>
        <v>343.22400000000005</v>
      </c>
      <c r="P93" s="192">
        <f t="shared" si="8"/>
        <v>293.709</v>
      </c>
      <c r="Q93" s="192">
        <f t="shared" si="9"/>
        <v>3724.5129999999999</v>
      </c>
      <c r="R93" s="192">
        <f t="shared" si="10"/>
        <v>4018.2219999999998</v>
      </c>
      <c r="S93" s="192">
        <f t="shared" si="11"/>
        <v>4130.82</v>
      </c>
      <c r="U93" s="350"/>
    </row>
    <row r="94" spans="1:21" ht="24.95" customHeight="1">
      <c r="A94" s="193" t="s">
        <v>86</v>
      </c>
      <c r="B94" s="194" t="s">
        <v>381</v>
      </c>
      <c r="C94" s="195" t="s">
        <v>222</v>
      </c>
      <c r="D94" s="190">
        <v>4215</v>
      </c>
      <c r="E94" s="190">
        <v>126</v>
      </c>
      <c r="F94" s="190">
        <v>653</v>
      </c>
      <c r="G94" s="190">
        <v>112</v>
      </c>
      <c r="H94" s="190">
        <v>2503</v>
      </c>
      <c r="I94" s="190">
        <v>821</v>
      </c>
      <c r="J94" s="190">
        <f t="shared" si="6"/>
        <v>3268</v>
      </c>
      <c r="K94" s="329">
        <v>5.5999999999999994E-2</v>
      </c>
      <c r="L94" s="329">
        <v>0.16300000000000001</v>
      </c>
      <c r="M94" s="330">
        <v>0.13699999999999998</v>
      </c>
      <c r="N94" s="191">
        <f t="shared" si="7"/>
        <v>7.0559999999999992</v>
      </c>
      <c r="O94" s="192">
        <f t="shared" si="8"/>
        <v>36.567999999999998</v>
      </c>
      <c r="P94" s="192">
        <f t="shared" si="8"/>
        <v>18.256</v>
      </c>
      <c r="Q94" s="192">
        <f t="shared" si="9"/>
        <v>407.98900000000003</v>
      </c>
      <c r="R94" s="192">
        <f t="shared" si="10"/>
        <v>426.245</v>
      </c>
      <c r="S94" s="192">
        <f t="shared" si="11"/>
        <v>447.71599999999995</v>
      </c>
      <c r="U94" s="350"/>
    </row>
    <row r="95" spans="1:21" ht="24.95" customHeight="1">
      <c r="A95" s="193" t="s">
        <v>57</v>
      </c>
      <c r="B95" s="194" t="s">
        <v>14</v>
      </c>
      <c r="C95" s="195" t="s">
        <v>221</v>
      </c>
      <c r="D95" s="190">
        <v>228065</v>
      </c>
      <c r="E95" s="190">
        <v>8052</v>
      </c>
      <c r="F95" s="190">
        <v>50409</v>
      </c>
      <c r="G95" s="190">
        <v>10373</v>
      </c>
      <c r="H95" s="190">
        <v>131014</v>
      </c>
      <c r="I95" s="190">
        <v>28217</v>
      </c>
      <c r="J95" s="190">
        <f t="shared" si="6"/>
        <v>191796</v>
      </c>
      <c r="K95" s="329">
        <v>8.6999999999999994E-2</v>
      </c>
      <c r="L95" s="329">
        <v>0.23100000000000001</v>
      </c>
      <c r="M95" s="330">
        <v>0.192</v>
      </c>
      <c r="N95" s="191">
        <f t="shared" si="7"/>
        <v>700.524</v>
      </c>
      <c r="O95" s="192">
        <f t="shared" si="8"/>
        <v>4385.5829999999996</v>
      </c>
      <c r="P95" s="192">
        <f t="shared" si="8"/>
        <v>2396.163</v>
      </c>
      <c r="Q95" s="192">
        <f t="shared" si="9"/>
        <v>30264.234</v>
      </c>
      <c r="R95" s="192">
        <f t="shared" si="10"/>
        <v>32660.397000000001</v>
      </c>
      <c r="S95" s="192">
        <f t="shared" si="11"/>
        <v>36824.832000000002</v>
      </c>
      <c r="U95" s="350"/>
    </row>
    <row r="96" spans="1:21" ht="24.95" customHeight="1">
      <c r="A96" s="193" t="s">
        <v>58</v>
      </c>
      <c r="B96" s="194" t="s">
        <v>14</v>
      </c>
      <c r="C96" s="195" t="s">
        <v>222</v>
      </c>
      <c r="D96" s="190">
        <v>45127</v>
      </c>
      <c r="E96" s="190">
        <v>1700</v>
      </c>
      <c r="F96" s="190">
        <v>9013</v>
      </c>
      <c r="G96" s="190">
        <v>1746</v>
      </c>
      <c r="H96" s="190">
        <v>24832</v>
      </c>
      <c r="I96" s="190">
        <v>7836</v>
      </c>
      <c r="J96" s="190">
        <f t="shared" si="6"/>
        <v>35591</v>
      </c>
      <c r="K96" s="329">
        <v>4.9000000000000002E-2</v>
      </c>
      <c r="L96" s="329">
        <v>0.14499999999999999</v>
      </c>
      <c r="M96" s="330">
        <v>0.113</v>
      </c>
      <c r="N96" s="191">
        <f t="shared" si="7"/>
        <v>83.3</v>
      </c>
      <c r="O96" s="192">
        <f t="shared" si="8"/>
        <v>441.637</v>
      </c>
      <c r="P96" s="192">
        <f t="shared" si="8"/>
        <v>253.17</v>
      </c>
      <c r="Q96" s="192">
        <f t="shared" si="9"/>
        <v>3600.64</v>
      </c>
      <c r="R96" s="192">
        <f t="shared" si="10"/>
        <v>3853.81</v>
      </c>
      <c r="S96" s="192">
        <f t="shared" si="11"/>
        <v>4021.7829999999999</v>
      </c>
      <c r="U96" s="350"/>
    </row>
    <row r="97" spans="1:21" ht="24.95" customHeight="1">
      <c r="A97" s="193" t="s">
        <v>44</v>
      </c>
      <c r="B97" s="194" t="s">
        <v>13</v>
      </c>
      <c r="C97" s="195" t="s">
        <v>221</v>
      </c>
      <c r="D97" s="190">
        <v>1052122</v>
      </c>
      <c r="E97" s="190">
        <v>38817</v>
      </c>
      <c r="F97" s="190">
        <v>214991</v>
      </c>
      <c r="G97" s="190">
        <v>43308</v>
      </c>
      <c r="H97" s="190">
        <v>637968</v>
      </c>
      <c r="I97" s="190">
        <v>117038</v>
      </c>
      <c r="J97" s="190">
        <f t="shared" si="6"/>
        <v>896267</v>
      </c>
      <c r="K97" s="329">
        <v>4.2000000000000003E-2</v>
      </c>
      <c r="L97" s="329">
        <v>0.17600000000000002</v>
      </c>
      <c r="M97" s="330">
        <v>0.13699999999999998</v>
      </c>
      <c r="N97" s="191">
        <f t="shared" si="7"/>
        <v>1630.3140000000001</v>
      </c>
      <c r="O97" s="192">
        <f t="shared" si="8"/>
        <v>9029.6220000000012</v>
      </c>
      <c r="P97" s="192">
        <f t="shared" si="8"/>
        <v>7622.2080000000005</v>
      </c>
      <c r="Q97" s="192">
        <f t="shared" si="9"/>
        <v>112282.36800000002</v>
      </c>
      <c r="R97" s="192">
        <f t="shared" si="10"/>
        <v>119904.57600000002</v>
      </c>
      <c r="S97" s="192">
        <f t="shared" si="11"/>
        <v>122788.57899999998</v>
      </c>
      <c r="U97" s="350"/>
    </row>
    <row r="98" spans="1:21" ht="24.95" customHeight="1">
      <c r="A98" s="187" t="s">
        <v>59</v>
      </c>
      <c r="B98" s="188" t="s">
        <v>14</v>
      </c>
      <c r="C98" s="189" t="s">
        <v>222</v>
      </c>
      <c r="D98" s="190">
        <v>20473</v>
      </c>
      <c r="E98" s="190">
        <v>601</v>
      </c>
      <c r="F98" s="190">
        <v>3223</v>
      </c>
      <c r="G98" s="190">
        <v>568</v>
      </c>
      <c r="H98" s="190">
        <v>11308</v>
      </c>
      <c r="I98" s="190">
        <v>4773</v>
      </c>
      <c r="J98" s="190">
        <f t="shared" si="6"/>
        <v>15099</v>
      </c>
      <c r="K98" s="329">
        <v>3.7999999999999999E-2</v>
      </c>
      <c r="L98" s="329">
        <v>0.122</v>
      </c>
      <c r="M98" s="330">
        <v>9.6999999999999989E-2</v>
      </c>
      <c r="N98" s="191">
        <f t="shared" si="7"/>
        <v>22.838000000000001</v>
      </c>
      <c r="O98" s="192">
        <f t="shared" si="8"/>
        <v>122.474</v>
      </c>
      <c r="P98" s="192">
        <f t="shared" si="8"/>
        <v>69.295999999999992</v>
      </c>
      <c r="Q98" s="192">
        <f t="shared" si="9"/>
        <v>1379.576</v>
      </c>
      <c r="R98" s="192">
        <f t="shared" si="10"/>
        <v>1448.8720000000001</v>
      </c>
      <c r="S98" s="192">
        <f t="shared" si="11"/>
        <v>1464.6029999999998</v>
      </c>
      <c r="U98" s="350"/>
    </row>
    <row r="99" spans="1:21" ht="24.95" customHeight="1">
      <c r="A99" s="187" t="s">
        <v>87</v>
      </c>
      <c r="B99" s="188" t="s">
        <v>381</v>
      </c>
      <c r="C99" s="189" t="s">
        <v>222</v>
      </c>
      <c r="D99" s="190">
        <v>12429</v>
      </c>
      <c r="E99" s="190">
        <v>412</v>
      </c>
      <c r="F99" s="190">
        <v>2293</v>
      </c>
      <c r="G99" s="190">
        <v>328</v>
      </c>
      <c r="H99" s="190">
        <v>6559</v>
      </c>
      <c r="I99" s="190">
        <v>2837</v>
      </c>
      <c r="J99" s="190">
        <f t="shared" si="6"/>
        <v>9180</v>
      </c>
      <c r="K99" s="329">
        <v>6.7000000000000004E-2</v>
      </c>
      <c r="L99" s="329">
        <v>0.20199999999999999</v>
      </c>
      <c r="M99" s="330">
        <v>0.16800000000000001</v>
      </c>
      <c r="N99" s="191">
        <f t="shared" si="7"/>
        <v>27.604000000000003</v>
      </c>
      <c r="O99" s="192">
        <f t="shared" si="8"/>
        <v>153.631</v>
      </c>
      <c r="P99" s="192">
        <f t="shared" si="8"/>
        <v>66.256</v>
      </c>
      <c r="Q99" s="192">
        <f t="shared" si="9"/>
        <v>1324.9179999999999</v>
      </c>
      <c r="R99" s="192">
        <f t="shared" si="10"/>
        <v>1391.174</v>
      </c>
      <c r="S99" s="192">
        <f t="shared" si="11"/>
        <v>1542.24</v>
      </c>
      <c r="U99" s="350"/>
    </row>
    <row r="100" spans="1:21" ht="24.95" customHeight="1">
      <c r="A100" s="187" t="s">
        <v>138</v>
      </c>
      <c r="B100" s="188" t="s">
        <v>428</v>
      </c>
      <c r="C100" s="189" t="s">
        <v>222</v>
      </c>
      <c r="D100" s="190">
        <v>54940</v>
      </c>
      <c r="E100" s="190">
        <v>1116</v>
      </c>
      <c r="F100" s="190">
        <v>5939</v>
      </c>
      <c r="G100" s="190">
        <v>8587</v>
      </c>
      <c r="H100" s="190">
        <v>30564</v>
      </c>
      <c r="I100" s="190">
        <v>8734</v>
      </c>
      <c r="J100" s="190">
        <f t="shared" si="6"/>
        <v>45090</v>
      </c>
      <c r="K100" s="329">
        <v>4.7E-2</v>
      </c>
      <c r="L100" s="329">
        <v>0.17100000000000001</v>
      </c>
      <c r="M100" s="330">
        <v>0.13800000000000001</v>
      </c>
      <c r="N100" s="191">
        <f t="shared" si="7"/>
        <v>52.451999999999998</v>
      </c>
      <c r="O100" s="192">
        <f t="shared" si="8"/>
        <v>279.13299999999998</v>
      </c>
      <c r="P100" s="192">
        <f t="shared" si="8"/>
        <v>1468.3770000000002</v>
      </c>
      <c r="Q100" s="192">
        <f t="shared" si="9"/>
        <v>5226.4440000000004</v>
      </c>
      <c r="R100" s="192">
        <f t="shared" si="10"/>
        <v>6694.8210000000008</v>
      </c>
      <c r="S100" s="192">
        <f t="shared" si="11"/>
        <v>6222.42</v>
      </c>
      <c r="U100" s="350"/>
    </row>
    <row r="101" spans="1:21" ht="24.95" customHeight="1">
      <c r="A101" s="187" t="s">
        <v>98</v>
      </c>
      <c r="B101" s="188" t="s">
        <v>15</v>
      </c>
      <c r="C101" s="189" t="s">
        <v>221</v>
      </c>
      <c r="D101" s="190">
        <v>125146</v>
      </c>
      <c r="E101" s="190">
        <v>5012</v>
      </c>
      <c r="F101" s="190">
        <v>25676</v>
      </c>
      <c r="G101" s="190">
        <v>5057</v>
      </c>
      <c r="H101" s="190">
        <v>69841</v>
      </c>
      <c r="I101" s="190">
        <v>19560</v>
      </c>
      <c r="J101" s="190">
        <f t="shared" si="6"/>
        <v>100574</v>
      </c>
      <c r="K101" s="329">
        <v>4.9000000000000002E-2</v>
      </c>
      <c r="L101" s="329">
        <v>0.15</v>
      </c>
      <c r="M101" s="330">
        <v>0.13200000000000001</v>
      </c>
      <c r="N101" s="191">
        <f t="shared" si="7"/>
        <v>245.58800000000002</v>
      </c>
      <c r="O101" s="192">
        <f t="shared" si="8"/>
        <v>1258.124</v>
      </c>
      <c r="P101" s="192">
        <f t="shared" si="8"/>
        <v>758.55</v>
      </c>
      <c r="Q101" s="192">
        <f t="shared" si="9"/>
        <v>10476.15</v>
      </c>
      <c r="R101" s="192">
        <f t="shared" si="10"/>
        <v>11234.699999999999</v>
      </c>
      <c r="S101" s="192">
        <f t="shared" si="11"/>
        <v>13275.768</v>
      </c>
      <c r="U101" s="350"/>
    </row>
    <row r="102" spans="1:21" ht="24.95" customHeight="1">
      <c r="A102" s="187" t="s">
        <v>139</v>
      </c>
      <c r="B102" s="188" t="s">
        <v>428</v>
      </c>
      <c r="C102" s="189" t="s">
        <v>222</v>
      </c>
      <c r="D102" s="190">
        <v>69664</v>
      </c>
      <c r="E102" s="190">
        <v>2162</v>
      </c>
      <c r="F102" s="190">
        <v>12043</v>
      </c>
      <c r="G102" s="190">
        <v>2431</v>
      </c>
      <c r="H102" s="190">
        <v>38663</v>
      </c>
      <c r="I102" s="190">
        <v>14365</v>
      </c>
      <c r="J102" s="190">
        <f t="shared" si="6"/>
        <v>53137</v>
      </c>
      <c r="K102" s="329">
        <v>5.0999999999999997E-2</v>
      </c>
      <c r="L102" s="329">
        <v>0.17300000000000001</v>
      </c>
      <c r="M102" s="330">
        <v>0.13800000000000001</v>
      </c>
      <c r="N102" s="191">
        <f t="shared" si="7"/>
        <v>110.26199999999999</v>
      </c>
      <c r="O102" s="192">
        <f t="shared" si="8"/>
        <v>614.19299999999998</v>
      </c>
      <c r="P102" s="192">
        <f t="shared" si="8"/>
        <v>420.56300000000005</v>
      </c>
      <c r="Q102" s="192">
        <f t="shared" si="9"/>
        <v>6688.6990000000005</v>
      </c>
      <c r="R102" s="192">
        <f t="shared" si="10"/>
        <v>7109.2620000000006</v>
      </c>
      <c r="S102" s="192">
        <f t="shared" si="11"/>
        <v>7332.9060000000009</v>
      </c>
      <c r="U102" s="350"/>
    </row>
    <row r="103" spans="1:21" ht="24.95" customHeight="1">
      <c r="A103" s="187" t="s">
        <v>99</v>
      </c>
      <c r="B103" s="188" t="s">
        <v>15</v>
      </c>
      <c r="C103" s="189" t="s">
        <v>222</v>
      </c>
      <c r="D103" s="190">
        <v>82686</v>
      </c>
      <c r="E103" s="190">
        <v>2938</v>
      </c>
      <c r="F103" s="190">
        <v>16061</v>
      </c>
      <c r="G103" s="190">
        <v>3126</v>
      </c>
      <c r="H103" s="190">
        <v>46320</v>
      </c>
      <c r="I103" s="190">
        <v>14241</v>
      </c>
      <c r="J103" s="190">
        <f t="shared" si="6"/>
        <v>65507</v>
      </c>
      <c r="K103" s="329">
        <v>5.5999999999999994E-2</v>
      </c>
      <c r="L103" s="329">
        <v>0.19600000000000001</v>
      </c>
      <c r="M103" s="330">
        <v>0.159</v>
      </c>
      <c r="N103" s="191">
        <f t="shared" si="7"/>
        <v>164.52799999999999</v>
      </c>
      <c r="O103" s="192">
        <f t="shared" si="8"/>
        <v>899.41599999999994</v>
      </c>
      <c r="P103" s="192">
        <f t="shared" si="8"/>
        <v>612.69600000000003</v>
      </c>
      <c r="Q103" s="192">
        <f t="shared" si="9"/>
        <v>9078.7200000000012</v>
      </c>
      <c r="R103" s="192">
        <f t="shared" si="10"/>
        <v>9691.4160000000011</v>
      </c>
      <c r="S103" s="192">
        <f t="shared" si="11"/>
        <v>10415.612999999999</v>
      </c>
      <c r="U103" s="350"/>
    </row>
    <row r="104" spans="1:21" ht="24.95" customHeight="1">
      <c r="A104" s="187" t="s">
        <v>108</v>
      </c>
      <c r="B104" s="188" t="s">
        <v>16</v>
      </c>
      <c r="C104" s="189" t="s">
        <v>221</v>
      </c>
      <c r="D104" s="190">
        <v>37376</v>
      </c>
      <c r="E104" s="190">
        <v>1175</v>
      </c>
      <c r="F104" s="190">
        <v>6632</v>
      </c>
      <c r="G104" s="190">
        <v>1413</v>
      </c>
      <c r="H104" s="190">
        <v>21024</v>
      </c>
      <c r="I104" s="190">
        <v>7132</v>
      </c>
      <c r="J104" s="190">
        <f t="shared" si="6"/>
        <v>29069</v>
      </c>
      <c r="K104" s="329">
        <v>5.7000000000000002E-2</v>
      </c>
      <c r="L104" s="329">
        <v>0.187</v>
      </c>
      <c r="M104" s="330">
        <v>0.15</v>
      </c>
      <c r="N104" s="191">
        <f t="shared" si="7"/>
        <v>66.975000000000009</v>
      </c>
      <c r="O104" s="192">
        <f t="shared" si="8"/>
        <v>378.024</v>
      </c>
      <c r="P104" s="192">
        <f t="shared" si="8"/>
        <v>264.23099999999999</v>
      </c>
      <c r="Q104" s="192">
        <f t="shared" si="9"/>
        <v>3931.4879999999998</v>
      </c>
      <c r="R104" s="192">
        <f t="shared" si="10"/>
        <v>4195.7190000000001</v>
      </c>
      <c r="S104" s="192">
        <f t="shared" si="11"/>
        <v>4360.3499999999995</v>
      </c>
      <c r="U104" s="350"/>
    </row>
    <row r="105" spans="1:21" ht="24.95" customHeight="1">
      <c r="A105" s="187" t="s">
        <v>140</v>
      </c>
      <c r="B105" s="188" t="s">
        <v>428</v>
      </c>
      <c r="C105" s="189" t="s">
        <v>222</v>
      </c>
      <c r="D105" s="190">
        <v>17999</v>
      </c>
      <c r="E105" s="190">
        <v>556</v>
      </c>
      <c r="F105" s="190">
        <v>2800</v>
      </c>
      <c r="G105" s="190">
        <v>514</v>
      </c>
      <c r="H105" s="190">
        <v>9756</v>
      </c>
      <c r="I105" s="190">
        <v>4373</v>
      </c>
      <c r="J105" s="190">
        <f t="shared" si="6"/>
        <v>13070</v>
      </c>
      <c r="K105" s="329">
        <v>5.5999999999999994E-2</v>
      </c>
      <c r="L105" s="329">
        <v>0.17899999999999999</v>
      </c>
      <c r="M105" s="331">
        <v>0.14599999999999999</v>
      </c>
      <c r="N105" s="191">
        <f t="shared" si="7"/>
        <v>31.135999999999996</v>
      </c>
      <c r="O105" s="192">
        <f t="shared" si="8"/>
        <v>156.79999999999998</v>
      </c>
      <c r="P105" s="192">
        <f t="shared" si="8"/>
        <v>92.006</v>
      </c>
      <c r="Q105" s="192">
        <f t="shared" si="9"/>
        <v>1746.3239999999998</v>
      </c>
      <c r="R105" s="192">
        <f t="shared" si="10"/>
        <v>1838.33</v>
      </c>
      <c r="S105" s="192">
        <f t="shared" si="11"/>
        <v>1908.2199999999998</v>
      </c>
      <c r="U105" s="350"/>
    </row>
    <row r="106" spans="1:21" ht="20.100000000000001" customHeight="1">
      <c r="D106" s="197"/>
      <c r="E106" s="197"/>
      <c r="F106" s="197"/>
      <c r="G106" s="197"/>
      <c r="H106" s="197"/>
      <c r="I106" s="198"/>
      <c r="J106" s="198"/>
      <c r="K106" s="332"/>
      <c r="L106" s="332"/>
      <c r="M106" s="333"/>
      <c r="N106" s="199"/>
      <c r="O106" s="199"/>
      <c r="P106" s="199"/>
      <c r="Q106" s="199"/>
      <c r="R106" s="199"/>
      <c r="S106" s="197"/>
      <c r="U106" s="350"/>
    </row>
    <row r="107" spans="1:21" ht="24.95" customHeight="1">
      <c r="A107" s="200" t="s">
        <v>223</v>
      </c>
      <c r="B107" s="182"/>
      <c r="C107" s="183"/>
      <c r="D107" s="201">
        <f t="shared" ref="D107:J107" si="12">SUM(D6:D105)</f>
        <v>10264353</v>
      </c>
      <c r="E107" s="201">
        <f t="shared" si="12"/>
        <v>368797</v>
      </c>
      <c r="F107" s="201">
        <f t="shared" si="12"/>
        <v>1946020</v>
      </c>
      <c r="G107" s="201">
        <f t="shared" si="12"/>
        <v>442142</v>
      </c>
      <c r="H107" s="201">
        <f t="shared" si="12"/>
        <v>5894130</v>
      </c>
      <c r="I107" s="201">
        <f t="shared" si="12"/>
        <v>1613264</v>
      </c>
      <c r="J107" s="201">
        <f t="shared" si="12"/>
        <v>8282292</v>
      </c>
      <c r="K107" s="327">
        <v>4.5999999999999999E-2</v>
      </c>
      <c r="L107" s="327">
        <v>0.16200000000000001</v>
      </c>
      <c r="M107" s="327">
        <v>0.13</v>
      </c>
      <c r="N107" s="186">
        <f t="shared" ref="N107:S107" si="13">SUM(N6:N105)</f>
        <v>17286.130000000005</v>
      </c>
      <c r="O107" s="186">
        <f t="shared" si="13"/>
        <v>92157.764000000025</v>
      </c>
      <c r="P107" s="186">
        <f t="shared" si="13"/>
        <v>74519.261999999973</v>
      </c>
      <c r="Q107" s="186">
        <f t="shared" si="13"/>
        <v>996912.89600000018</v>
      </c>
      <c r="R107" s="186">
        <f t="shared" si="13"/>
        <v>1071432.1580000001</v>
      </c>
      <c r="S107" s="201">
        <f t="shared" si="13"/>
        <v>1122525.5709999995</v>
      </c>
      <c r="U107" s="351"/>
    </row>
    <row r="108" spans="1:21">
      <c r="N108" s="202">
        <f>N107/E107</f>
        <v>4.6871666526571543E-2</v>
      </c>
      <c r="O108" s="202">
        <f>O107/F107</f>
        <v>4.7357048745644968E-2</v>
      </c>
      <c r="P108" s="202">
        <f>P107/G107</f>
        <v>0.16854146857796812</v>
      </c>
      <c r="Q108" s="202">
        <f>Q107/H107</f>
        <v>0.16913656400520521</v>
      </c>
      <c r="R108" s="202">
        <f>R107/SUM(G107:H107)</f>
        <v>0.16909503853369931</v>
      </c>
      <c r="S108" s="202">
        <f>S107/J107</f>
        <v>0.13553320397300644</v>
      </c>
      <c r="U108" s="202"/>
    </row>
    <row r="109" spans="1:21" ht="20.100000000000001" customHeight="1">
      <c r="A109" s="162" t="s">
        <v>433</v>
      </c>
    </row>
    <row r="110" spans="1:21" ht="39.950000000000003" customHeight="1">
      <c r="A110" s="445" t="s">
        <v>434</v>
      </c>
      <c r="B110" s="445"/>
      <c r="C110" s="445"/>
      <c r="D110" s="445"/>
      <c r="E110" s="445"/>
      <c r="F110" s="445"/>
      <c r="G110" s="445"/>
      <c r="H110" s="445"/>
      <c r="I110" s="445"/>
      <c r="J110" s="445"/>
      <c r="K110" s="445"/>
      <c r="L110" s="445"/>
      <c r="M110" s="445"/>
      <c r="N110" s="445"/>
      <c r="O110" s="445"/>
      <c r="P110" s="445"/>
      <c r="Q110" s="445"/>
      <c r="R110" s="445"/>
      <c r="S110" s="445"/>
    </row>
    <row r="111" spans="1:21" ht="90" customHeight="1">
      <c r="A111" s="446" t="s">
        <v>474</v>
      </c>
      <c r="B111" s="446"/>
      <c r="C111" s="446"/>
      <c r="D111" s="446"/>
      <c r="E111" s="446"/>
      <c r="F111" s="446"/>
      <c r="G111" s="446"/>
      <c r="H111" s="446"/>
      <c r="I111" s="446"/>
      <c r="J111" s="446"/>
      <c r="K111" s="446"/>
      <c r="L111" s="446"/>
      <c r="M111" s="446"/>
      <c r="N111" s="446"/>
      <c r="O111" s="446"/>
      <c r="P111" s="446"/>
      <c r="Q111" s="446"/>
      <c r="R111" s="446"/>
      <c r="S111" s="446"/>
    </row>
  </sheetData>
  <sheetProtection sheet="1" objects="1" scenarios="1" autoFilter="0"/>
  <autoFilter ref="A5:S107" xr:uid="{00000000-0009-0000-0000-000024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238"/>
  <sheetViews>
    <sheetView workbookViewId="0">
      <pane ySplit="4" topLeftCell="A5" activePane="bottomLeft" state="frozen"/>
      <selection activeCell="A3" sqref="A3:S3"/>
      <selection pane="bottomLeft" activeCell="D24" sqref="D24"/>
    </sheetView>
  </sheetViews>
  <sheetFormatPr defaultRowHeight="12.75"/>
  <cols>
    <col min="1" max="1" width="46.5703125" style="354" bestFit="1" customWidth="1"/>
    <col min="2" max="2" width="18.7109375" style="356" customWidth="1"/>
    <col min="3" max="6" width="18.7109375" style="354" customWidth="1"/>
    <col min="7" max="16384" width="9.140625" style="354"/>
  </cols>
  <sheetData>
    <row r="1" spans="1:9" ht="18">
      <c r="A1" s="352" t="s">
        <v>435</v>
      </c>
      <c r="B1" s="353"/>
      <c r="C1" s="353"/>
      <c r="D1" s="353"/>
      <c r="E1" s="353"/>
      <c r="F1" s="353"/>
    </row>
    <row r="2" spans="1:9" ht="25.5">
      <c r="A2" s="334" t="s">
        <v>436</v>
      </c>
      <c r="B2" s="355"/>
      <c r="C2" s="355"/>
      <c r="D2" s="355"/>
      <c r="E2" s="355"/>
      <c r="F2" s="355"/>
    </row>
    <row r="4" spans="1:9" ht="51">
      <c r="A4" s="319" t="s">
        <v>229</v>
      </c>
      <c r="B4" s="335" t="s">
        <v>383</v>
      </c>
      <c r="C4" s="367" t="s">
        <v>384</v>
      </c>
      <c r="D4" s="335" t="s">
        <v>385</v>
      </c>
      <c r="E4" s="367" t="s">
        <v>437</v>
      </c>
      <c r="F4" s="335" t="s">
        <v>438</v>
      </c>
      <c r="H4" s="379" t="s">
        <v>439</v>
      </c>
      <c r="I4" s="379" t="s">
        <v>440</v>
      </c>
    </row>
    <row r="5" spans="1:9" ht="14.25">
      <c r="A5" s="368" t="s">
        <v>13</v>
      </c>
      <c r="B5" s="369">
        <v>16497.249000000003</v>
      </c>
      <c r="C5" s="369">
        <v>13459.95</v>
      </c>
      <c r="D5" s="369">
        <v>188430.26700000002</v>
      </c>
      <c r="E5" s="369">
        <v>201890.217</v>
      </c>
      <c r="F5" s="369">
        <v>209296.92699999997</v>
      </c>
      <c r="G5" s="380"/>
      <c r="H5" s="381">
        <f>SUM(B5,E5)</f>
        <v>218387.46600000001</v>
      </c>
      <c r="I5" s="381">
        <f>H5-F5</f>
        <v>9090.539000000048</v>
      </c>
    </row>
    <row r="6" spans="1:9" ht="14.25">
      <c r="A6" s="370" t="s">
        <v>41</v>
      </c>
      <c r="B6" s="371">
        <v>2621.9310000000005</v>
      </c>
      <c r="C6" s="371">
        <v>2067.5160000000001</v>
      </c>
      <c r="D6" s="371">
        <v>25561.326000000001</v>
      </c>
      <c r="E6" s="371">
        <v>27628.842000000001</v>
      </c>
      <c r="F6" s="371">
        <v>29275.776000000002</v>
      </c>
      <c r="G6" s="380"/>
      <c r="H6" s="380">
        <f>SUM(B6,E6)</f>
        <v>30250.773000000001</v>
      </c>
      <c r="I6" s="380">
        <f>H6-F6</f>
        <v>974.99699999999939</v>
      </c>
    </row>
    <row r="7" spans="1:9" ht="14.25">
      <c r="A7" s="372" t="s">
        <v>42</v>
      </c>
      <c r="B7" s="373">
        <v>2892.4700000000003</v>
      </c>
      <c r="C7" s="373">
        <v>2406.2640000000001</v>
      </c>
      <c r="D7" s="373">
        <v>30856.560000000001</v>
      </c>
      <c r="E7" s="373">
        <v>33262.824000000001</v>
      </c>
      <c r="F7" s="373">
        <v>35212.150999999998</v>
      </c>
      <c r="G7" s="380"/>
      <c r="H7" s="380">
        <f>SUM(B7,E7)</f>
        <v>36155.294000000002</v>
      </c>
      <c r="I7" s="380">
        <f>H7-F7</f>
        <v>943.14300000000367</v>
      </c>
    </row>
    <row r="8" spans="1:9" ht="14.25">
      <c r="A8" s="372" t="s">
        <v>43</v>
      </c>
      <c r="B8" s="373">
        <v>1953.2260000000001</v>
      </c>
      <c r="C8" s="373">
        <v>1363.962</v>
      </c>
      <c r="D8" s="373">
        <v>19730.012999999999</v>
      </c>
      <c r="E8" s="373">
        <v>21093.974999999999</v>
      </c>
      <c r="F8" s="373">
        <v>22020.420999999998</v>
      </c>
      <c r="G8" s="380"/>
      <c r="H8" s="380">
        <f>SUM(B8,E8)</f>
        <v>23047.200999999997</v>
      </c>
      <c r="I8" s="380">
        <f>H8-F8</f>
        <v>1026.7799999999988</v>
      </c>
    </row>
    <row r="9" spans="1:9" ht="14.25">
      <c r="A9" s="372" t="s">
        <v>44</v>
      </c>
      <c r="B9" s="373">
        <v>9029.6220000000012</v>
      </c>
      <c r="C9" s="373">
        <v>7622.2080000000005</v>
      </c>
      <c r="D9" s="373">
        <v>112282.36800000002</v>
      </c>
      <c r="E9" s="373">
        <v>119904.57600000002</v>
      </c>
      <c r="F9" s="373">
        <v>122788.57899999998</v>
      </c>
      <c r="G9" s="380"/>
      <c r="H9" s="380">
        <f>SUM(B9,E9)</f>
        <v>128934.19800000002</v>
      </c>
      <c r="I9" s="380">
        <f>H9-F9</f>
        <v>6145.6190000000352</v>
      </c>
    </row>
    <row r="10" spans="1:9" ht="14.25">
      <c r="A10" s="374"/>
      <c r="B10" s="375"/>
      <c r="C10" s="375"/>
      <c r="D10" s="375"/>
      <c r="E10" s="375"/>
      <c r="F10" s="375"/>
      <c r="H10" s="380"/>
      <c r="I10" s="380"/>
    </row>
    <row r="11" spans="1:9" ht="14.25">
      <c r="A11" s="368" t="s">
        <v>14</v>
      </c>
      <c r="B11" s="369">
        <v>29518.18499999999</v>
      </c>
      <c r="C11" s="369">
        <v>20671.169999999995</v>
      </c>
      <c r="D11" s="369">
        <v>301929.45900000003</v>
      </c>
      <c r="E11" s="369">
        <v>322600.6289999999</v>
      </c>
      <c r="F11" s="369">
        <v>339551.39099999989</v>
      </c>
      <c r="H11" s="381">
        <f t="shared" ref="H11:H31" si="0">SUM(B11,E11)</f>
        <v>352118.8139999999</v>
      </c>
      <c r="I11" s="381">
        <f t="shared" ref="I11:I31" si="1">H11-F11</f>
        <v>12567.42300000001</v>
      </c>
    </row>
    <row r="12" spans="1:9" ht="14.25">
      <c r="A12" s="370" t="s">
        <v>45</v>
      </c>
      <c r="B12" s="371">
        <v>1355.4449999999999</v>
      </c>
      <c r="C12" s="371">
        <v>1464.3989999999999</v>
      </c>
      <c r="D12" s="371">
        <v>16214.715</v>
      </c>
      <c r="E12" s="371">
        <v>17679.114000000001</v>
      </c>
      <c r="F12" s="371">
        <v>18173.066999999999</v>
      </c>
      <c r="H12" s="380">
        <f t="shared" si="0"/>
        <v>19034.559000000001</v>
      </c>
      <c r="I12" s="380">
        <f t="shared" si="1"/>
        <v>861.49200000000201</v>
      </c>
    </row>
    <row r="13" spans="1:9" ht="14.25">
      <c r="A13" s="372" t="s">
        <v>46</v>
      </c>
      <c r="B13" s="373">
        <v>2010.6599999999999</v>
      </c>
      <c r="C13" s="373">
        <v>1115.8680000000002</v>
      </c>
      <c r="D13" s="373">
        <v>16408.752</v>
      </c>
      <c r="E13" s="373">
        <v>17524.62</v>
      </c>
      <c r="F13" s="373">
        <v>18777</v>
      </c>
      <c r="H13" s="380">
        <f t="shared" si="0"/>
        <v>19535.28</v>
      </c>
      <c r="I13" s="380">
        <f t="shared" si="1"/>
        <v>758.27999999999884</v>
      </c>
    </row>
    <row r="14" spans="1:9" ht="14.25">
      <c r="A14" s="372" t="s">
        <v>47</v>
      </c>
      <c r="B14" s="373">
        <v>187.476</v>
      </c>
      <c r="C14" s="373">
        <v>115.596</v>
      </c>
      <c r="D14" s="373">
        <v>2161.5360000000001</v>
      </c>
      <c r="E14" s="373">
        <v>2277.1320000000001</v>
      </c>
      <c r="F14" s="373">
        <v>2357.2170000000001</v>
      </c>
      <c r="H14" s="380">
        <f t="shared" si="0"/>
        <v>2464.6080000000002</v>
      </c>
      <c r="I14" s="380">
        <f t="shared" si="1"/>
        <v>107.39100000000008</v>
      </c>
    </row>
    <row r="15" spans="1:9" ht="14.25">
      <c r="A15" s="372" t="s">
        <v>48</v>
      </c>
      <c r="B15" s="373">
        <v>1009.446</v>
      </c>
      <c r="C15" s="373">
        <v>383.50400000000002</v>
      </c>
      <c r="D15" s="373">
        <v>6995.4720000000007</v>
      </c>
      <c r="E15" s="373">
        <v>7378.9760000000006</v>
      </c>
      <c r="F15" s="373">
        <v>8167.2879999999996</v>
      </c>
      <c r="H15" s="380">
        <f t="shared" si="0"/>
        <v>8388.4220000000005</v>
      </c>
      <c r="I15" s="380">
        <f t="shared" si="1"/>
        <v>221.13400000000092</v>
      </c>
    </row>
    <row r="16" spans="1:9" ht="14.25">
      <c r="A16" s="405" t="s">
        <v>49</v>
      </c>
      <c r="B16" s="376">
        <v>1534.8000000000002</v>
      </c>
      <c r="C16" s="376">
        <v>998.58</v>
      </c>
      <c r="D16" s="376">
        <v>15788.025000000001</v>
      </c>
      <c r="E16" s="376">
        <v>16786.605000000003</v>
      </c>
      <c r="F16" s="376">
        <v>17613.589</v>
      </c>
      <c r="H16" s="380">
        <f t="shared" si="0"/>
        <v>18321.405000000002</v>
      </c>
      <c r="I16" s="380">
        <f t="shared" si="1"/>
        <v>707.81600000000253</v>
      </c>
    </row>
    <row r="17" spans="1:9" ht="14.25">
      <c r="A17" s="406" t="s">
        <v>60</v>
      </c>
      <c r="B17" s="377">
        <v>433.41400000000004</v>
      </c>
      <c r="C17" s="377">
        <v>235.56</v>
      </c>
      <c r="D17" s="377">
        <v>3703.44</v>
      </c>
      <c r="E17" s="377">
        <v>3939</v>
      </c>
      <c r="F17" s="377">
        <v>4237.4800000000005</v>
      </c>
      <c r="H17" s="380">
        <f t="shared" si="0"/>
        <v>4372.4139999999998</v>
      </c>
      <c r="I17" s="380">
        <f t="shared" si="1"/>
        <v>134.93399999999929</v>
      </c>
    </row>
    <row r="18" spans="1:9" ht="14.25">
      <c r="A18" s="406" t="s">
        <v>61</v>
      </c>
      <c r="B18" s="377">
        <v>2943.92</v>
      </c>
      <c r="C18" s="377">
        <v>2627.52</v>
      </c>
      <c r="D18" s="377">
        <v>35781.480000000003</v>
      </c>
      <c r="E18" s="377">
        <v>38409</v>
      </c>
      <c r="F18" s="377">
        <v>39591.213000000003</v>
      </c>
      <c r="H18" s="380">
        <f t="shared" si="0"/>
        <v>41352.92</v>
      </c>
      <c r="I18" s="380">
        <f t="shared" si="1"/>
        <v>1761.7069999999949</v>
      </c>
    </row>
    <row r="19" spans="1:9" ht="14.25">
      <c r="A19" s="406" t="s">
        <v>50</v>
      </c>
      <c r="B19" s="377">
        <v>682.77</v>
      </c>
      <c r="C19" s="377">
        <v>437.32499999999999</v>
      </c>
      <c r="D19" s="377">
        <v>6636.5249999999996</v>
      </c>
      <c r="E19" s="377">
        <v>7073.8499999999995</v>
      </c>
      <c r="F19" s="377">
        <v>7449.8759999999993</v>
      </c>
      <c r="H19" s="380">
        <f t="shared" si="0"/>
        <v>7756.619999999999</v>
      </c>
      <c r="I19" s="380">
        <f t="shared" si="1"/>
        <v>306.74399999999969</v>
      </c>
    </row>
    <row r="20" spans="1:9" ht="14.25">
      <c r="A20" s="406" t="s">
        <v>51</v>
      </c>
      <c r="B20" s="377">
        <v>522.49600000000009</v>
      </c>
      <c r="C20" s="377">
        <v>337.84899999999999</v>
      </c>
      <c r="D20" s="377">
        <v>4630.326</v>
      </c>
      <c r="E20" s="377">
        <v>4968.1750000000002</v>
      </c>
      <c r="F20" s="377">
        <v>5277.03</v>
      </c>
      <c r="H20" s="380">
        <f t="shared" si="0"/>
        <v>5490.6710000000003</v>
      </c>
      <c r="I20" s="380">
        <f t="shared" si="1"/>
        <v>213.64100000000053</v>
      </c>
    </row>
    <row r="21" spans="1:9" ht="14.25">
      <c r="A21" s="406" t="s">
        <v>52</v>
      </c>
      <c r="B21" s="377">
        <v>385.23599999999993</v>
      </c>
      <c r="C21" s="377">
        <v>294.50400000000002</v>
      </c>
      <c r="D21" s="377">
        <v>4810.3440000000001</v>
      </c>
      <c r="E21" s="377">
        <v>5104.848</v>
      </c>
      <c r="F21" s="377">
        <v>5330.7880000000005</v>
      </c>
      <c r="H21" s="380">
        <f t="shared" si="0"/>
        <v>5490.0839999999998</v>
      </c>
      <c r="I21" s="380">
        <f t="shared" si="1"/>
        <v>159.29599999999937</v>
      </c>
    </row>
    <row r="22" spans="1:9" ht="14.25">
      <c r="A22" s="406" t="s">
        <v>100</v>
      </c>
      <c r="B22" s="377">
        <v>9221.1349999999984</v>
      </c>
      <c r="C22" s="377">
        <v>6136.56</v>
      </c>
      <c r="D22" s="377">
        <v>107442.126</v>
      </c>
      <c r="E22" s="377">
        <v>113578.686</v>
      </c>
      <c r="F22" s="377">
        <v>118105.69200000001</v>
      </c>
      <c r="H22" s="380">
        <f t="shared" si="0"/>
        <v>122799.821</v>
      </c>
      <c r="I22" s="380">
        <f t="shared" si="1"/>
        <v>4694.1289999999863</v>
      </c>
    </row>
    <row r="23" spans="1:9" ht="14.25">
      <c r="A23" s="406" t="s">
        <v>53</v>
      </c>
      <c r="B23" s="377">
        <v>1128.1759999999999</v>
      </c>
      <c r="C23" s="377">
        <v>1506.9960000000001</v>
      </c>
      <c r="D23" s="377">
        <v>10457.706</v>
      </c>
      <c r="E23" s="377">
        <v>11964.702000000001</v>
      </c>
      <c r="F23" s="377">
        <v>12510.992</v>
      </c>
      <c r="H23" s="380">
        <f t="shared" si="0"/>
        <v>13092.878000000001</v>
      </c>
      <c r="I23" s="380">
        <f t="shared" si="1"/>
        <v>581.88600000000042</v>
      </c>
    </row>
    <row r="24" spans="1:9" ht="14.25">
      <c r="A24" s="406" t="s">
        <v>54</v>
      </c>
      <c r="B24" s="377">
        <v>305.55799999999999</v>
      </c>
      <c r="C24" s="377">
        <v>177.98400000000001</v>
      </c>
      <c r="D24" s="377">
        <v>3272.2560000000003</v>
      </c>
      <c r="E24" s="377">
        <v>3450.2400000000002</v>
      </c>
      <c r="F24" s="377">
        <v>3634.7219999999998</v>
      </c>
      <c r="H24" s="380">
        <f t="shared" si="0"/>
        <v>3755.7980000000002</v>
      </c>
      <c r="I24" s="380">
        <f t="shared" si="1"/>
        <v>121.07600000000048</v>
      </c>
    </row>
    <row r="25" spans="1:9" ht="14.25">
      <c r="A25" s="406" t="s">
        <v>62</v>
      </c>
      <c r="B25" s="377">
        <v>747.20600000000002</v>
      </c>
      <c r="C25" s="377">
        <v>513.702</v>
      </c>
      <c r="D25" s="377">
        <v>8440.362000000001</v>
      </c>
      <c r="E25" s="377">
        <v>8954.0640000000003</v>
      </c>
      <c r="F25" s="377">
        <v>9394.44</v>
      </c>
      <c r="H25" s="380">
        <f t="shared" si="0"/>
        <v>9701.27</v>
      </c>
      <c r="I25" s="380">
        <f t="shared" si="1"/>
        <v>306.82999999999993</v>
      </c>
    </row>
    <row r="26" spans="1:9" ht="14.25">
      <c r="A26" s="406" t="s">
        <v>55</v>
      </c>
      <c r="B26" s="377">
        <v>1242.598</v>
      </c>
      <c r="C26" s="377">
        <v>995.45399999999995</v>
      </c>
      <c r="D26" s="377">
        <v>14005.085999999999</v>
      </c>
      <c r="E26" s="377">
        <v>15000.539999999999</v>
      </c>
      <c r="F26" s="377">
        <v>15737.997000000001</v>
      </c>
      <c r="H26" s="380">
        <f t="shared" si="0"/>
        <v>16243.137999999999</v>
      </c>
      <c r="I26" s="380">
        <f t="shared" si="1"/>
        <v>505.1409999999978</v>
      </c>
    </row>
    <row r="27" spans="1:9" ht="14.25">
      <c r="A27" s="406" t="s">
        <v>56</v>
      </c>
      <c r="B27" s="377">
        <v>515.73099999999999</v>
      </c>
      <c r="C27" s="377">
        <v>368.14</v>
      </c>
      <c r="D27" s="377">
        <v>5518.308</v>
      </c>
      <c r="E27" s="377">
        <v>5886.4480000000003</v>
      </c>
      <c r="F27" s="377">
        <v>6173.3119999999999</v>
      </c>
      <c r="H27" s="380">
        <f t="shared" si="0"/>
        <v>6402.1790000000001</v>
      </c>
      <c r="I27" s="380">
        <f t="shared" si="1"/>
        <v>228.86700000000019</v>
      </c>
    </row>
    <row r="28" spans="1:9" ht="14.25">
      <c r="A28" s="406" t="s">
        <v>63</v>
      </c>
      <c r="B28" s="377">
        <v>342.42399999999998</v>
      </c>
      <c r="C28" s="377">
        <v>243</v>
      </c>
      <c r="D28" s="377">
        <v>4418.55</v>
      </c>
      <c r="E28" s="377">
        <v>4661.55</v>
      </c>
      <c r="F28" s="377">
        <v>4708.47</v>
      </c>
      <c r="H28" s="380">
        <f t="shared" si="0"/>
        <v>5003.9740000000002</v>
      </c>
      <c r="I28" s="380">
        <f t="shared" si="1"/>
        <v>295.50399999999991</v>
      </c>
    </row>
    <row r="29" spans="1:9" ht="14.25">
      <c r="A29" s="406" t="s">
        <v>57</v>
      </c>
      <c r="B29" s="377">
        <v>4385.5829999999996</v>
      </c>
      <c r="C29" s="377">
        <v>2396.163</v>
      </c>
      <c r="D29" s="377">
        <v>30264.234</v>
      </c>
      <c r="E29" s="377">
        <v>32660.397000000001</v>
      </c>
      <c r="F29" s="377">
        <v>36824.832000000002</v>
      </c>
      <c r="H29" s="380">
        <f t="shared" si="0"/>
        <v>37045.980000000003</v>
      </c>
      <c r="I29" s="380">
        <f t="shared" si="1"/>
        <v>221.14800000000105</v>
      </c>
    </row>
    <row r="30" spans="1:9" ht="14.25">
      <c r="A30" s="407" t="s">
        <v>58</v>
      </c>
      <c r="B30" s="378">
        <v>441.637</v>
      </c>
      <c r="C30" s="378">
        <v>253.17</v>
      </c>
      <c r="D30" s="378">
        <v>3600.64</v>
      </c>
      <c r="E30" s="378">
        <v>3853.81</v>
      </c>
      <c r="F30" s="378">
        <v>4021.7829999999999</v>
      </c>
      <c r="H30" s="380">
        <f t="shared" si="0"/>
        <v>4295.4470000000001</v>
      </c>
      <c r="I30" s="380">
        <f t="shared" si="1"/>
        <v>273.66400000000021</v>
      </c>
    </row>
    <row r="31" spans="1:9" ht="14.25">
      <c r="A31" s="372" t="s">
        <v>59</v>
      </c>
      <c r="B31" s="373">
        <v>122.474</v>
      </c>
      <c r="C31" s="373">
        <v>69.295999999999992</v>
      </c>
      <c r="D31" s="373">
        <v>1379.576</v>
      </c>
      <c r="E31" s="373">
        <v>1448.8720000000001</v>
      </c>
      <c r="F31" s="373">
        <v>1464.6029999999998</v>
      </c>
      <c r="H31" s="380">
        <f t="shared" si="0"/>
        <v>1571.346</v>
      </c>
      <c r="I31" s="380">
        <f t="shared" si="1"/>
        <v>106.74300000000017</v>
      </c>
    </row>
    <row r="32" spans="1:9" ht="14.25">
      <c r="A32" s="374"/>
      <c r="B32" s="375"/>
      <c r="C32" s="375"/>
      <c r="D32" s="375"/>
      <c r="E32" s="375"/>
      <c r="F32" s="375"/>
      <c r="H32" s="380"/>
      <c r="I32" s="380"/>
    </row>
    <row r="33" spans="1:9" ht="14.25">
      <c r="A33" s="368" t="s">
        <v>15</v>
      </c>
      <c r="B33" s="369">
        <v>7897.4749999999995</v>
      </c>
      <c r="C33" s="369">
        <v>6537.5009999999993</v>
      </c>
      <c r="D33" s="369">
        <v>82977.743000000002</v>
      </c>
      <c r="E33" s="369">
        <v>89515.243999999992</v>
      </c>
      <c r="F33" s="369">
        <v>94973.469999999987</v>
      </c>
      <c r="H33" s="381">
        <f t="shared" ref="H33:H44" si="2">SUM(B33,E33)</f>
        <v>97412.718999999997</v>
      </c>
      <c r="I33" s="381">
        <f t="shared" ref="I33:I44" si="3">H33-F33</f>
        <v>2439.2490000000107</v>
      </c>
    </row>
    <row r="34" spans="1:9" ht="14.25">
      <c r="A34" s="370" t="s">
        <v>88</v>
      </c>
      <c r="B34" s="371">
        <v>375.12</v>
      </c>
      <c r="C34" s="371">
        <v>263.77199999999999</v>
      </c>
      <c r="D34" s="371">
        <v>3970.8599999999997</v>
      </c>
      <c r="E34" s="371">
        <v>4234.6319999999996</v>
      </c>
      <c r="F34" s="371">
        <v>4483.66</v>
      </c>
      <c r="H34" s="380">
        <f t="shared" si="2"/>
        <v>4609.7519999999995</v>
      </c>
      <c r="I34" s="380">
        <f t="shared" si="3"/>
        <v>126.09199999999964</v>
      </c>
    </row>
    <row r="35" spans="1:9" ht="14.25">
      <c r="A35" s="372" t="s">
        <v>89</v>
      </c>
      <c r="B35" s="373">
        <v>601.86599999999999</v>
      </c>
      <c r="C35" s="373">
        <v>425.73900000000003</v>
      </c>
      <c r="D35" s="373">
        <v>6140.8410000000003</v>
      </c>
      <c r="E35" s="373">
        <v>6566.58</v>
      </c>
      <c r="F35" s="373">
        <v>6847.8209999999999</v>
      </c>
      <c r="H35" s="380">
        <f t="shared" si="2"/>
        <v>7168.4459999999999</v>
      </c>
      <c r="I35" s="380">
        <f t="shared" si="3"/>
        <v>320.625</v>
      </c>
    </row>
    <row r="36" spans="1:9" ht="14.25">
      <c r="A36" s="372" t="s">
        <v>90</v>
      </c>
      <c r="B36" s="373">
        <v>854.35000000000014</v>
      </c>
      <c r="C36" s="373">
        <v>664.44999999999993</v>
      </c>
      <c r="D36" s="373">
        <v>8964.1839999999993</v>
      </c>
      <c r="E36" s="373">
        <v>9628.634</v>
      </c>
      <c r="F36" s="373">
        <v>10132.044</v>
      </c>
      <c r="H36" s="380">
        <f t="shared" si="2"/>
        <v>10482.984</v>
      </c>
      <c r="I36" s="380">
        <f t="shared" si="3"/>
        <v>350.94000000000051</v>
      </c>
    </row>
    <row r="37" spans="1:9" ht="14.25">
      <c r="A37" s="372" t="s">
        <v>91</v>
      </c>
      <c r="B37" s="373">
        <v>372.57500000000005</v>
      </c>
      <c r="C37" s="373">
        <v>307.94400000000002</v>
      </c>
      <c r="D37" s="373">
        <v>4615.5720000000001</v>
      </c>
      <c r="E37" s="373">
        <v>4923.5160000000005</v>
      </c>
      <c r="F37" s="373">
        <v>5149.1319999999996</v>
      </c>
      <c r="H37" s="380">
        <f t="shared" si="2"/>
        <v>5296.0910000000003</v>
      </c>
      <c r="I37" s="380">
        <f t="shared" si="3"/>
        <v>146.95900000000074</v>
      </c>
    </row>
    <row r="38" spans="1:9" ht="14.25">
      <c r="A38" s="372" t="s">
        <v>92</v>
      </c>
      <c r="B38" s="373">
        <v>313.79399999999998</v>
      </c>
      <c r="C38" s="373">
        <v>175.25300000000001</v>
      </c>
      <c r="D38" s="373">
        <v>2758.08</v>
      </c>
      <c r="E38" s="373">
        <v>2933.3330000000001</v>
      </c>
      <c r="F38" s="373">
        <v>3103.6070000000004</v>
      </c>
      <c r="H38" s="380">
        <f t="shared" si="2"/>
        <v>3247.127</v>
      </c>
      <c r="I38" s="380">
        <f t="shared" si="3"/>
        <v>143.51999999999953</v>
      </c>
    </row>
    <row r="39" spans="1:9" ht="14.25">
      <c r="A39" s="372" t="s">
        <v>93</v>
      </c>
      <c r="B39" s="373">
        <v>481.09600000000006</v>
      </c>
      <c r="C39" s="373">
        <v>407.09899999999999</v>
      </c>
      <c r="D39" s="373">
        <v>5998.0249999999996</v>
      </c>
      <c r="E39" s="373">
        <v>6405.1239999999998</v>
      </c>
      <c r="F39" s="373">
        <v>6687.5280000000012</v>
      </c>
      <c r="H39" s="380">
        <f t="shared" si="2"/>
        <v>6886.22</v>
      </c>
      <c r="I39" s="380">
        <f t="shared" si="3"/>
        <v>198.6919999999991</v>
      </c>
    </row>
    <row r="40" spans="1:9" ht="14.25">
      <c r="A40" s="372" t="s">
        <v>95</v>
      </c>
      <c r="B40" s="373">
        <v>1421.3680000000002</v>
      </c>
      <c r="C40" s="373">
        <v>2034.5</v>
      </c>
      <c r="D40" s="373">
        <v>19060.86</v>
      </c>
      <c r="E40" s="373">
        <v>21095.360000000001</v>
      </c>
      <c r="F40" s="373">
        <v>21260.120000000003</v>
      </c>
      <c r="H40" s="380">
        <f t="shared" si="2"/>
        <v>22516.727999999999</v>
      </c>
      <c r="I40" s="380">
        <f t="shared" si="3"/>
        <v>1256.6079999999965</v>
      </c>
    </row>
    <row r="41" spans="1:9" ht="14.25">
      <c r="A41" s="372" t="s">
        <v>96</v>
      </c>
      <c r="B41" s="373">
        <v>965.57099999999991</v>
      </c>
      <c r="C41" s="373">
        <v>628.99799999999993</v>
      </c>
      <c r="D41" s="373">
        <v>8242.6229999999996</v>
      </c>
      <c r="E41" s="373">
        <v>8871.6209999999992</v>
      </c>
      <c r="F41" s="373">
        <v>9524.08</v>
      </c>
      <c r="H41" s="380">
        <f t="shared" si="2"/>
        <v>9837.1919999999991</v>
      </c>
      <c r="I41" s="380">
        <f t="shared" si="3"/>
        <v>313.11199999999917</v>
      </c>
    </row>
    <row r="42" spans="1:9" ht="14.25">
      <c r="A42" s="372" t="s">
        <v>97</v>
      </c>
      <c r="B42" s="373">
        <v>354.19499999999999</v>
      </c>
      <c r="C42" s="373">
        <v>258.5</v>
      </c>
      <c r="D42" s="373">
        <v>3671.828</v>
      </c>
      <c r="E42" s="373">
        <v>3930.328</v>
      </c>
      <c r="F42" s="373">
        <v>4094.0969999999998</v>
      </c>
      <c r="H42" s="380">
        <f t="shared" si="2"/>
        <v>4284.5230000000001</v>
      </c>
      <c r="I42" s="380">
        <f t="shared" si="3"/>
        <v>190.42600000000039</v>
      </c>
    </row>
    <row r="43" spans="1:9" ht="14.25">
      <c r="A43" s="372" t="s">
        <v>98</v>
      </c>
      <c r="B43" s="373">
        <v>1258.124</v>
      </c>
      <c r="C43" s="373">
        <v>758.55</v>
      </c>
      <c r="D43" s="373">
        <v>10476.15</v>
      </c>
      <c r="E43" s="373">
        <v>11234.699999999999</v>
      </c>
      <c r="F43" s="373">
        <v>13275.768</v>
      </c>
      <c r="H43" s="380">
        <f t="shared" si="2"/>
        <v>12492.823999999999</v>
      </c>
      <c r="I43" s="380">
        <f t="shared" si="3"/>
        <v>-782.94400000000132</v>
      </c>
    </row>
    <row r="44" spans="1:9" ht="14.25">
      <c r="A44" s="372" t="s">
        <v>99</v>
      </c>
      <c r="B44" s="373">
        <v>899.41599999999994</v>
      </c>
      <c r="C44" s="373">
        <v>612.69600000000003</v>
      </c>
      <c r="D44" s="373">
        <v>9078.7200000000012</v>
      </c>
      <c r="E44" s="373">
        <v>9691.4160000000011</v>
      </c>
      <c r="F44" s="373">
        <v>10415.612999999999</v>
      </c>
      <c r="H44" s="380">
        <f t="shared" si="2"/>
        <v>10590.832</v>
      </c>
      <c r="I44" s="380">
        <f t="shared" si="3"/>
        <v>175.21900000000096</v>
      </c>
    </row>
    <row r="45" spans="1:9" ht="14.25">
      <c r="A45" s="374"/>
      <c r="B45" s="375"/>
      <c r="C45" s="375"/>
      <c r="D45" s="375"/>
      <c r="E45" s="375"/>
      <c r="F45" s="375"/>
      <c r="H45" s="380"/>
      <c r="I45" s="380"/>
    </row>
    <row r="46" spans="1:9" ht="14.25">
      <c r="A46" s="368" t="s">
        <v>16</v>
      </c>
      <c r="B46" s="369">
        <v>7741.402</v>
      </c>
      <c r="C46" s="369">
        <v>6278.1100000000006</v>
      </c>
      <c r="D46" s="369">
        <v>88036.398000000001</v>
      </c>
      <c r="E46" s="369">
        <v>94314.508000000002</v>
      </c>
      <c r="F46" s="369">
        <v>98517.450000000012</v>
      </c>
      <c r="H46" s="381">
        <f t="shared" ref="H46:H54" si="4">SUM(B46,E46)</f>
        <v>102055.91</v>
      </c>
      <c r="I46" s="381">
        <f t="shared" ref="I46:I54" si="5">H46-F46</f>
        <v>3538.4599999999919</v>
      </c>
    </row>
    <row r="47" spans="1:9" ht="14.25">
      <c r="A47" s="370" t="s">
        <v>101</v>
      </c>
      <c r="B47" s="371">
        <v>662.80199999999991</v>
      </c>
      <c r="C47" s="371">
        <v>812.63</v>
      </c>
      <c r="D47" s="371">
        <v>9439.77</v>
      </c>
      <c r="E47" s="371">
        <v>10252.4</v>
      </c>
      <c r="F47" s="371">
        <v>10683.596</v>
      </c>
      <c r="H47" s="380">
        <f t="shared" si="4"/>
        <v>10915.201999999999</v>
      </c>
      <c r="I47" s="380">
        <f t="shared" si="5"/>
        <v>231.60599999999977</v>
      </c>
    </row>
    <row r="48" spans="1:9" ht="14.25">
      <c r="A48" s="372" t="s">
        <v>102</v>
      </c>
      <c r="B48" s="373">
        <v>1325.07</v>
      </c>
      <c r="C48" s="373">
        <v>1085.0400000000002</v>
      </c>
      <c r="D48" s="373">
        <v>15619.12</v>
      </c>
      <c r="E48" s="373">
        <v>16704.16</v>
      </c>
      <c r="F48" s="373">
        <v>17285.484</v>
      </c>
      <c r="H48" s="380">
        <f t="shared" si="4"/>
        <v>18029.23</v>
      </c>
      <c r="I48" s="380">
        <f t="shared" si="5"/>
        <v>743.74599999999919</v>
      </c>
    </row>
    <row r="49" spans="1:9" ht="14.25">
      <c r="A49" s="372" t="s">
        <v>103</v>
      </c>
      <c r="B49" s="373">
        <v>696.65700000000004</v>
      </c>
      <c r="C49" s="373">
        <v>722.10799999999995</v>
      </c>
      <c r="D49" s="373">
        <v>9180.6579999999994</v>
      </c>
      <c r="E49" s="373">
        <v>9902.7659999999996</v>
      </c>
      <c r="F49" s="373">
        <v>10185.252</v>
      </c>
      <c r="H49" s="380">
        <f t="shared" si="4"/>
        <v>10599.422999999999</v>
      </c>
      <c r="I49" s="380">
        <f t="shared" si="5"/>
        <v>414.17099999999846</v>
      </c>
    </row>
    <row r="50" spans="1:9" ht="14.25">
      <c r="A50" s="372" t="s">
        <v>104</v>
      </c>
      <c r="B50" s="373">
        <v>1825.8240000000001</v>
      </c>
      <c r="C50" s="373">
        <v>1372.623</v>
      </c>
      <c r="D50" s="373">
        <v>20373.37</v>
      </c>
      <c r="E50" s="373">
        <v>21745.992999999999</v>
      </c>
      <c r="F50" s="373">
        <v>22737.91</v>
      </c>
      <c r="H50" s="380">
        <f t="shared" si="4"/>
        <v>23571.816999999999</v>
      </c>
      <c r="I50" s="380">
        <f t="shared" si="5"/>
        <v>833.90699999999924</v>
      </c>
    </row>
    <row r="51" spans="1:9" ht="14.25">
      <c r="A51" s="372" t="s">
        <v>105</v>
      </c>
      <c r="B51" s="373">
        <v>1579.999</v>
      </c>
      <c r="C51" s="373">
        <v>1033.826</v>
      </c>
      <c r="D51" s="373">
        <v>14976.825999999999</v>
      </c>
      <c r="E51" s="373">
        <v>16010.651999999998</v>
      </c>
      <c r="F51" s="373">
        <v>16906.922000000002</v>
      </c>
      <c r="H51" s="380">
        <f t="shared" si="4"/>
        <v>17590.650999999998</v>
      </c>
      <c r="I51" s="380">
        <f t="shared" si="5"/>
        <v>683.72899999999572</v>
      </c>
    </row>
    <row r="52" spans="1:9" ht="14.25">
      <c r="A52" s="372" t="s">
        <v>106</v>
      </c>
      <c r="B52" s="373">
        <v>684.06600000000003</v>
      </c>
      <c r="C52" s="373">
        <v>504.67200000000003</v>
      </c>
      <c r="D52" s="373">
        <v>8223.0960000000014</v>
      </c>
      <c r="E52" s="373">
        <v>8727.7680000000018</v>
      </c>
      <c r="F52" s="373">
        <v>9087.7920000000013</v>
      </c>
      <c r="H52" s="380">
        <f t="shared" si="4"/>
        <v>9411.8340000000026</v>
      </c>
      <c r="I52" s="380">
        <f t="shared" si="5"/>
        <v>324.04200000000128</v>
      </c>
    </row>
    <row r="53" spans="1:9" ht="14.25">
      <c r="A53" s="372" t="s">
        <v>107</v>
      </c>
      <c r="B53" s="373">
        <v>588.95999999999992</v>
      </c>
      <c r="C53" s="373">
        <v>482.98</v>
      </c>
      <c r="D53" s="373">
        <v>6292.07</v>
      </c>
      <c r="E53" s="373">
        <v>6775.0499999999993</v>
      </c>
      <c r="F53" s="373">
        <v>7270.1440000000002</v>
      </c>
      <c r="H53" s="380">
        <f t="shared" si="4"/>
        <v>7364.0099999999993</v>
      </c>
      <c r="I53" s="380">
        <f t="shared" si="5"/>
        <v>93.865999999999076</v>
      </c>
    </row>
    <row r="54" spans="1:9" ht="14.25">
      <c r="A54" s="372" t="s">
        <v>108</v>
      </c>
      <c r="B54" s="373">
        <v>378.024</v>
      </c>
      <c r="C54" s="373">
        <v>264.23099999999999</v>
      </c>
      <c r="D54" s="373">
        <v>3931.4879999999998</v>
      </c>
      <c r="E54" s="373">
        <v>4195.7190000000001</v>
      </c>
      <c r="F54" s="373">
        <v>4360.3499999999995</v>
      </c>
      <c r="H54" s="380">
        <f t="shared" si="4"/>
        <v>4573.7430000000004</v>
      </c>
      <c r="I54" s="380">
        <f t="shared" si="5"/>
        <v>213.39300000000094</v>
      </c>
    </row>
    <row r="55" spans="1:9" ht="14.25">
      <c r="A55" s="374"/>
      <c r="B55" s="375"/>
      <c r="C55" s="375"/>
      <c r="D55" s="375"/>
      <c r="E55" s="375"/>
      <c r="F55" s="375"/>
      <c r="H55" s="380"/>
      <c r="I55" s="380"/>
    </row>
    <row r="56" spans="1:9" ht="14.25">
      <c r="A56" s="368" t="s">
        <v>17</v>
      </c>
      <c r="B56" s="369">
        <v>10510.509000000004</v>
      </c>
      <c r="C56" s="369">
        <v>8936.760000000002</v>
      </c>
      <c r="D56" s="369">
        <v>110165.68499999998</v>
      </c>
      <c r="E56" s="369">
        <v>119102.44500000001</v>
      </c>
      <c r="F56" s="369">
        <v>124871.42500000002</v>
      </c>
      <c r="H56" s="381">
        <f t="shared" ref="H56:H65" si="6">SUM(B56,E56)</f>
        <v>129612.95400000001</v>
      </c>
      <c r="I56" s="381">
        <f t="shared" ref="I56:I65" si="7">H56-F56</f>
        <v>4741.528999999995</v>
      </c>
    </row>
    <row r="57" spans="1:9" ht="14.25">
      <c r="A57" s="370" t="s">
        <v>109</v>
      </c>
      <c r="B57" s="371">
        <v>204.435</v>
      </c>
      <c r="C57" s="371">
        <v>155.72</v>
      </c>
      <c r="D57" s="371">
        <v>2636.02</v>
      </c>
      <c r="E57" s="371">
        <v>2791.74</v>
      </c>
      <c r="F57" s="371">
        <v>2872.2049999999995</v>
      </c>
      <c r="H57" s="380">
        <f t="shared" si="6"/>
        <v>2996.1749999999997</v>
      </c>
      <c r="I57" s="380">
        <f t="shared" si="7"/>
        <v>123.97000000000025</v>
      </c>
    </row>
    <row r="58" spans="1:9" ht="14.25">
      <c r="A58" s="372" t="s">
        <v>110</v>
      </c>
      <c r="B58" s="373">
        <v>4376.97</v>
      </c>
      <c r="C58" s="373">
        <v>4449.2250000000004</v>
      </c>
      <c r="D58" s="373">
        <v>50291.505000000005</v>
      </c>
      <c r="E58" s="373">
        <v>54740.73</v>
      </c>
      <c r="F58" s="373">
        <v>56631.696000000004</v>
      </c>
      <c r="H58" s="380">
        <f t="shared" si="6"/>
        <v>59117.700000000004</v>
      </c>
      <c r="I58" s="380">
        <f t="shared" si="7"/>
        <v>2486.0040000000008</v>
      </c>
    </row>
    <row r="59" spans="1:9" ht="14.25">
      <c r="A59" s="372" t="s">
        <v>111</v>
      </c>
      <c r="B59" s="373">
        <v>1157.559</v>
      </c>
      <c r="C59" s="373">
        <v>1039.903</v>
      </c>
      <c r="D59" s="373">
        <v>12544.749000000002</v>
      </c>
      <c r="E59" s="373">
        <v>13584.652000000002</v>
      </c>
      <c r="F59" s="373">
        <v>14174.855000000001</v>
      </c>
      <c r="H59" s="380">
        <f t="shared" si="6"/>
        <v>14742.211000000001</v>
      </c>
      <c r="I59" s="380">
        <f t="shared" si="7"/>
        <v>567.35599999999977</v>
      </c>
    </row>
    <row r="60" spans="1:9" ht="14.25">
      <c r="A60" s="372" t="s">
        <v>112</v>
      </c>
      <c r="B60" s="373">
        <v>731.93</v>
      </c>
      <c r="C60" s="373">
        <v>490.28199999999998</v>
      </c>
      <c r="D60" s="373">
        <v>6598.86</v>
      </c>
      <c r="E60" s="373">
        <v>7089.1419999999998</v>
      </c>
      <c r="F60" s="373">
        <v>7690.6140000000005</v>
      </c>
      <c r="H60" s="380">
        <f t="shared" si="6"/>
        <v>7821.0720000000001</v>
      </c>
      <c r="I60" s="380">
        <f t="shared" si="7"/>
        <v>130.45799999999963</v>
      </c>
    </row>
    <row r="61" spans="1:9" ht="14.25">
      <c r="A61" s="372" t="s">
        <v>113</v>
      </c>
      <c r="B61" s="373">
        <v>782.33400000000006</v>
      </c>
      <c r="C61" s="373">
        <v>466.488</v>
      </c>
      <c r="D61" s="373">
        <v>6420.348</v>
      </c>
      <c r="E61" s="373">
        <v>6886.8360000000002</v>
      </c>
      <c r="F61" s="373">
        <v>7457.6</v>
      </c>
      <c r="H61" s="380">
        <f t="shared" si="6"/>
        <v>7669.17</v>
      </c>
      <c r="I61" s="380">
        <f t="shared" si="7"/>
        <v>211.56999999999971</v>
      </c>
    </row>
    <row r="62" spans="1:9" ht="14.25">
      <c r="A62" s="372" t="s">
        <v>114</v>
      </c>
      <c r="B62" s="373">
        <v>320.00599999999997</v>
      </c>
      <c r="C62" s="373">
        <v>238.22</v>
      </c>
      <c r="D62" s="373">
        <v>3243.2750000000001</v>
      </c>
      <c r="E62" s="373">
        <v>3481.4949999999999</v>
      </c>
      <c r="F62" s="373">
        <v>3644.63</v>
      </c>
      <c r="H62" s="380">
        <f t="shared" si="6"/>
        <v>3801.5009999999997</v>
      </c>
      <c r="I62" s="380">
        <f t="shared" si="7"/>
        <v>156.87099999999964</v>
      </c>
    </row>
    <row r="63" spans="1:9" ht="14.25">
      <c r="A63" s="372" t="s">
        <v>115</v>
      </c>
      <c r="B63" s="373">
        <v>925.98</v>
      </c>
      <c r="C63" s="373">
        <v>491.26400000000001</v>
      </c>
      <c r="D63" s="373">
        <v>7398.9039999999995</v>
      </c>
      <c r="E63" s="373">
        <v>7890.1679999999997</v>
      </c>
      <c r="F63" s="373">
        <v>8593.125</v>
      </c>
      <c r="H63" s="380">
        <f t="shared" si="6"/>
        <v>8816.1479999999992</v>
      </c>
      <c r="I63" s="380">
        <f t="shared" si="7"/>
        <v>223.02299999999923</v>
      </c>
    </row>
    <row r="64" spans="1:9" ht="14.25">
      <c r="A64" s="372" t="s">
        <v>116</v>
      </c>
      <c r="B64" s="373">
        <v>1600.1390000000001</v>
      </c>
      <c r="C64" s="373">
        <v>1187.2</v>
      </c>
      <c r="D64" s="373">
        <v>16202.2</v>
      </c>
      <c r="E64" s="373">
        <v>17389.400000000001</v>
      </c>
      <c r="F64" s="373">
        <v>18364.948</v>
      </c>
      <c r="H64" s="380">
        <f t="shared" si="6"/>
        <v>18989.539000000001</v>
      </c>
      <c r="I64" s="380">
        <f t="shared" si="7"/>
        <v>624.59100000000035</v>
      </c>
    </row>
    <row r="65" spans="1:9" ht="14.25">
      <c r="A65" s="372" t="s">
        <v>117</v>
      </c>
      <c r="B65" s="373">
        <v>411.15600000000001</v>
      </c>
      <c r="C65" s="373">
        <v>418.45799999999997</v>
      </c>
      <c r="D65" s="373">
        <v>4829.8239999999996</v>
      </c>
      <c r="E65" s="373">
        <v>5248.2819999999992</v>
      </c>
      <c r="F65" s="373">
        <v>5441.7519999999995</v>
      </c>
      <c r="H65" s="380">
        <f t="shared" si="6"/>
        <v>5659.4379999999992</v>
      </c>
      <c r="I65" s="380">
        <f t="shared" si="7"/>
        <v>217.68599999999969</v>
      </c>
    </row>
    <row r="66" spans="1:9" ht="14.25">
      <c r="A66" s="374"/>
      <c r="B66" s="375"/>
      <c r="C66" s="375"/>
      <c r="D66" s="375"/>
      <c r="E66" s="375"/>
      <c r="F66" s="375"/>
      <c r="H66" s="380"/>
      <c r="I66" s="380"/>
    </row>
    <row r="67" spans="1:9" ht="14.25">
      <c r="A67" s="368" t="s">
        <v>381</v>
      </c>
      <c r="B67" s="369">
        <v>11010.311999999998</v>
      </c>
      <c r="C67" s="369">
        <v>10386.038999999999</v>
      </c>
      <c r="D67" s="369">
        <v>119263.80200000003</v>
      </c>
      <c r="E67" s="369">
        <v>129649.84100000001</v>
      </c>
      <c r="F67" s="369">
        <v>136589.93299999999</v>
      </c>
      <c r="H67" s="381">
        <f t="shared" ref="H67:H92" si="8">SUM(B67,E67)</f>
        <v>140660.15300000002</v>
      </c>
      <c r="I67" s="381">
        <f t="shared" ref="I67:I92" si="9">H67-F67</f>
        <v>4070.2200000000303</v>
      </c>
    </row>
    <row r="68" spans="1:9" ht="14.25">
      <c r="A68" s="370" t="s">
        <v>69</v>
      </c>
      <c r="B68" s="371">
        <v>419.8</v>
      </c>
      <c r="C68" s="371">
        <v>252.78</v>
      </c>
      <c r="D68" s="371">
        <v>4149.915</v>
      </c>
      <c r="E68" s="371">
        <v>4402.6949999999997</v>
      </c>
      <c r="F68" s="371">
        <v>4700.5860000000002</v>
      </c>
      <c r="H68" s="380">
        <f t="shared" si="8"/>
        <v>4822.4949999999999</v>
      </c>
      <c r="I68" s="380">
        <f t="shared" si="9"/>
        <v>121.90899999999965</v>
      </c>
    </row>
    <row r="69" spans="1:9" ht="14.25">
      <c r="A69" s="372" t="s">
        <v>70</v>
      </c>
      <c r="B69" s="373">
        <v>144.89200000000002</v>
      </c>
      <c r="C69" s="373">
        <v>109.854</v>
      </c>
      <c r="D69" s="373">
        <v>1791.6299999999999</v>
      </c>
      <c r="E69" s="373">
        <v>1901.4839999999999</v>
      </c>
      <c r="F69" s="373">
        <v>1980.846</v>
      </c>
      <c r="H69" s="380">
        <f t="shared" si="8"/>
        <v>2046.376</v>
      </c>
      <c r="I69" s="380">
        <f t="shared" si="9"/>
        <v>65.529999999999973</v>
      </c>
    </row>
    <row r="70" spans="1:9" ht="14.25">
      <c r="A70" s="372" t="s">
        <v>64</v>
      </c>
      <c r="B70" s="373">
        <v>973.90800000000013</v>
      </c>
      <c r="C70" s="373">
        <v>584.14400000000001</v>
      </c>
      <c r="D70" s="373">
        <v>11637.472000000002</v>
      </c>
      <c r="E70" s="373">
        <v>12221.616000000002</v>
      </c>
      <c r="F70" s="373">
        <v>12960.99</v>
      </c>
      <c r="H70" s="380">
        <f t="shared" si="8"/>
        <v>13195.524000000001</v>
      </c>
      <c r="I70" s="380">
        <f t="shared" si="9"/>
        <v>234.53400000000147</v>
      </c>
    </row>
    <row r="71" spans="1:9" ht="14.25">
      <c r="A71" s="372" t="s">
        <v>71</v>
      </c>
      <c r="B71" s="373">
        <v>106.73100000000001</v>
      </c>
      <c r="C71" s="373">
        <v>46.863</v>
      </c>
      <c r="D71" s="373">
        <v>772.28700000000003</v>
      </c>
      <c r="E71" s="373">
        <v>819.15000000000009</v>
      </c>
      <c r="F71" s="373">
        <v>891.97200000000009</v>
      </c>
      <c r="H71" s="380">
        <f t="shared" si="8"/>
        <v>925.88100000000009</v>
      </c>
      <c r="I71" s="380">
        <f t="shared" si="9"/>
        <v>33.908999999999992</v>
      </c>
    </row>
    <row r="72" spans="1:9" ht="14.25">
      <c r="A72" s="372" t="s">
        <v>65</v>
      </c>
      <c r="B72" s="373">
        <v>523.4</v>
      </c>
      <c r="C72" s="373">
        <v>348.05099999999999</v>
      </c>
      <c r="D72" s="373">
        <v>6218.9669999999996</v>
      </c>
      <c r="E72" s="373">
        <v>6567.018</v>
      </c>
      <c r="F72" s="373">
        <v>6885.4100000000008</v>
      </c>
      <c r="H72" s="380">
        <f t="shared" si="8"/>
        <v>7090.4179999999997</v>
      </c>
      <c r="I72" s="380">
        <f t="shared" si="9"/>
        <v>205.0079999999989</v>
      </c>
    </row>
    <row r="73" spans="1:9" ht="14.25">
      <c r="A73" s="372" t="s">
        <v>72</v>
      </c>
      <c r="B73" s="373">
        <v>150.6</v>
      </c>
      <c r="C73" s="373">
        <v>80.105999999999995</v>
      </c>
      <c r="D73" s="373">
        <v>1261.5849999999998</v>
      </c>
      <c r="E73" s="373">
        <v>1341.6909999999998</v>
      </c>
      <c r="F73" s="373">
        <v>1452.4110000000001</v>
      </c>
      <c r="H73" s="380">
        <f t="shared" si="8"/>
        <v>1492.2909999999997</v>
      </c>
      <c r="I73" s="380">
        <f t="shared" si="9"/>
        <v>39.879999999999654</v>
      </c>
    </row>
    <row r="74" spans="1:9" ht="14.25">
      <c r="A74" s="372" t="s">
        <v>73</v>
      </c>
      <c r="B74" s="373">
        <v>1008.274</v>
      </c>
      <c r="C74" s="373">
        <v>692.91599999999994</v>
      </c>
      <c r="D74" s="373">
        <v>7943.86</v>
      </c>
      <c r="E74" s="373">
        <v>8636.7759999999998</v>
      </c>
      <c r="F74" s="373">
        <v>9566.85</v>
      </c>
      <c r="H74" s="380">
        <f t="shared" si="8"/>
        <v>9645.0499999999993</v>
      </c>
      <c r="I74" s="380">
        <f t="shared" si="9"/>
        <v>78.199999999998909</v>
      </c>
    </row>
    <row r="75" spans="1:9" ht="14.25">
      <c r="A75" s="372" t="s">
        <v>74</v>
      </c>
      <c r="B75" s="373">
        <v>262.51499999999999</v>
      </c>
      <c r="C75" s="373">
        <v>138.17999999999998</v>
      </c>
      <c r="D75" s="373">
        <v>2356.41</v>
      </c>
      <c r="E75" s="373">
        <v>2494.5899999999997</v>
      </c>
      <c r="F75" s="373">
        <v>2652.6459999999997</v>
      </c>
      <c r="H75" s="380">
        <f t="shared" si="8"/>
        <v>2757.1049999999996</v>
      </c>
      <c r="I75" s="380">
        <f t="shared" si="9"/>
        <v>104.45899999999983</v>
      </c>
    </row>
    <row r="76" spans="1:9" ht="14.25">
      <c r="A76" s="372" t="s">
        <v>75</v>
      </c>
      <c r="B76" s="373">
        <v>399.09200000000004</v>
      </c>
      <c r="C76" s="373">
        <v>155.488</v>
      </c>
      <c r="D76" s="373">
        <v>3677.7039999999997</v>
      </c>
      <c r="E76" s="373">
        <v>3833.1919999999996</v>
      </c>
      <c r="F76" s="373">
        <v>4138.7849999999999</v>
      </c>
      <c r="H76" s="380">
        <f t="shared" si="8"/>
        <v>4232.2839999999997</v>
      </c>
      <c r="I76" s="380">
        <f t="shared" si="9"/>
        <v>93.498999999999796</v>
      </c>
    </row>
    <row r="77" spans="1:9" ht="14.25">
      <c r="A77" s="372" t="s">
        <v>76</v>
      </c>
      <c r="B77" s="373">
        <v>103.41000000000001</v>
      </c>
      <c r="C77" s="373">
        <v>57.116</v>
      </c>
      <c r="D77" s="373">
        <v>888.31100000000004</v>
      </c>
      <c r="E77" s="373">
        <v>945.42700000000002</v>
      </c>
      <c r="F77" s="373">
        <v>1013.652</v>
      </c>
      <c r="H77" s="380">
        <f t="shared" si="8"/>
        <v>1048.837</v>
      </c>
      <c r="I77" s="380">
        <f t="shared" si="9"/>
        <v>35.184999999999945</v>
      </c>
    </row>
    <row r="78" spans="1:9" ht="14.25">
      <c r="A78" s="372" t="s">
        <v>77</v>
      </c>
      <c r="B78" s="373">
        <v>163.96</v>
      </c>
      <c r="C78" s="373">
        <v>200.65800000000002</v>
      </c>
      <c r="D78" s="373">
        <v>2200.4009999999998</v>
      </c>
      <c r="E78" s="373">
        <v>2401.0589999999997</v>
      </c>
      <c r="F78" s="373">
        <v>2438.4</v>
      </c>
      <c r="H78" s="380">
        <f t="shared" si="8"/>
        <v>2565.0189999999998</v>
      </c>
      <c r="I78" s="380">
        <f t="shared" si="9"/>
        <v>126.61899999999969</v>
      </c>
    </row>
    <row r="79" spans="1:9" ht="14.25">
      <c r="A79" s="372" t="s">
        <v>78</v>
      </c>
      <c r="B79" s="373">
        <v>69.471000000000004</v>
      </c>
      <c r="C79" s="373">
        <v>30.727999999999998</v>
      </c>
      <c r="D79" s="373">
        <v>633.51199999999994</v>
      </c>
      <c r="E79" s="373">
        <v>664.2399999999999</v>
      </c>
      <c r="F79" s="373">
        <v>702.62599999999998</v>
      </c>
      <c r="H79" s="380">
        <f t="shared" si="8"/>
        <v>733.7109999999999</v>
      </c>
      <c r="I79" s="380">
        <f t="shared" si="9"/>
        <v>31.084999999999923</v>
      </c>
    </row>
    <row r="80" spans="1:9" ht="14.25">
      <c r="A80" s="372" t="s">
        <v>79</v>
      </c>
      <c r="B80" s="373">
        <v>118.932</v>
      </c>
      <c r="C80" s="373">
        <v>55.879000000000005</v>
      </c>
      <c r="D80" s="373">
        <v>1024.6790000000001</v>
      </c>
      <c r="E80" s="373">
        <v>1080.558</v>
      </c>
      <c r="F80" s="373">
        <v>1175.2649999999999</v>
      </c>
      <c r="H80" s="380">
        <f t="shared" si="8"/>
        <v>1199.49</v>
      </c>
      <c r="I80" s="380">
        <f t="shared" si="9"/>
        <v>24.225000000000136</v>
      </c>
    </row>
    <row r="81" spans="1:12" ht="14.25">
      <c r="A81" s="372" t="s">
        <v>80</v>
      </c>
      <c r="B81" s="373">
        <v>191.47800000000001</v>
      </c>
      <c r="C81" s="373">
        <v>108.75</v>
      </c>
      <c r="D81" s="373">
        <v>1930.35</v>
      </c>
      <c r="E81" s="373">
        <v>2039.1</v>
      </c>
      <c r="F81" s="373">
        <v>2173.1640000000002</v>
      </c>
      <c r="H81" s="380">
        <f t="shared" si="8"/>
        <v>2230.578</v>
      </c>
      <c r="I81" s="380">
        <f t="shared" si="9"/>
        <v>57.41399999999976</v>
      </c>
    </row>
    <row r="82" spans="1:12" ht="14.25">
      <c r="A82" s="374" t="s">
        <v>94</v>
      </c>
      <c r="B82" s="375">
        <v>718.66200000000003</v>
      </c>
      <c r="C82" s="375">
        <v>546.31200000000001</v>
      </c>
      <c r="D82" s="375">
        <v>8332.5840000000007</v>
      </c>
      <c r="E82" s="375">
        <v>8878.8960000000006</v>
      </c>
      <c r="F82" s="375">
        <v>9179.348</v>
      </c>
      <c r="H82" s="380">
        <f t="shared" si="8"/>
        <v>9597.5580000000009</v>
      </c>
      <c r="I82" s="380">
        <f t="shared" si="9"/>
        <v>418.21000000000095</v>
      </c>
    </row>
    <row r="83" spans="1:12" ht="14.25">
      <c r="A83" s="370" t="s">
        <v>66</v>
      </c>
      <c r="B83" s="371">
        <v>1431.76</v>
      </c>
      <c r="C83" s="371">
        <v>1770.1499999999999</v>
      </c>
      <c r="D83" s="371">
        <v>20020.649999999998</v>
      </c>
      <c r="E83" s="371">
        <v>21790.799999999999</v>
      </c>
      <c r="F83" s="371">
        <v>22452.184000000001</v>
      </c>
      <c r="H83" s="380">
        <f t="shared" si="8"/>
        <v>23222.559999999998</v>
      </c>
      <c r="I83" s="380">
        <f t="shared" si="9"/>
        <v>770.37599999999657</v>
      </c>
    </row>
    <row r="84" spans="1:12" ht="14.25">
      <c r="A84" s="372" t="s">
        <v>81</v>
      </c>
      <c r="B84" s="373">
        <v>147.048</v>
      </c>
      <c r="C84" s="373">
        <v>82.39</v>
      </c>
      <c r="D84" s="373">
        <v>1800.876</v>
      </c>
      <c r="E84" s="373">
        <v>1883.2660000000001</v>
      </c>
      <c r="F84" s="373">
        <v>1977.5170000000001</v>
      </c>
      <c r="H84" s="380">
        <f t="shared" si="8"/>
        <v>2030.3140000000001</v>
      </c>
      <c r="I84" s="380">
        <f t="shared" si="9"/>
        <v>52.797000000000025</v>
      </c>
    </row>
    <row r="85" spans="1:12" ht="14.25">
      <c r="A85" s="372" t="s">
        <v>67</v>
      </c>
      <c r="B85" s="373">
        <v>1392.1799999999998</v>
      </c>
      <c r="C85" s="373">
        <v>1880.2350000000001</v>
      </c>
      <c r="D85" s="373">
        <v>13648.69</v>
      </c>
      <c r="E85" s="373">
        <v>15528.925000000001</v>
      </c>
      <c r="F85" s="373">
        <v>16530.738000000001</v>
      </c>
      <c r="H85" s="380">
        <f t="shared" si="8"/>
        <v>16921.105</v>
      </c>
      <c r="I85" s="380">
        <f t="shared" si="9"/>
        <v>390.36699999999837</v>
      </c>
    </row>
    <row r="86" spans="1:12" ht="14.25">
      <c r="A86" s="372" t="s">
        <v>82</v>
      </c>
      <c r="B86" s="373">
        <v>134.82399999999998</v>
      </c>
      <c r="C86" s="373">
        <v>50.887</v>
      </c>
      <c r="D86" s="373">
        <v>1066.8150000000001</v>
      </c>
      <c r="E86" s="373">
        <v>1117.702</v>
      </c>
      <c r="F86" s="373">
        <v>1211.232</v>
      </c>
      <c r="H86" s="380">
        <f t="shared" si="8"/>
        <v>1252.5260000000001</v>
      </c>
      <c r="I86" s="380">
        <f t="shared" si="9"/>
        <v>41.294000000000096</v>
      </c>
    </row>
    <row r="87" spans="1:12" ht="14.25">
      <c r="A87" s="372" t="s">
        <v>83</v>
      </c>
      <c r="B87" s="373">
        <v>339.32800000000003</v>
      </c>
      <c r="C87" s="373">
        <v>340.01799999999997</v>
      </c>
      <c r="D87" s="373">
        <v>3348.6259999999997</v>
      </c>
      <c r="E87" s="373">
        <v>3688.6439999999998</v>
      </c>
      <c r="F87" s="373">
        <v>3863.6920000000005</v>
      </c>
      <c r="H87" s="380">
        <f t="shared" si="8"/>
        <v>4027.9719999999998</v>
      </c>
      <c r="I87" s="380">
        <f t="shared" si="9"/>
        <v>164.27999999999929</v>
      </c>
    </row>
    <row r="88" spans="1:12" ht="14.25">
      <c r="A88" s="372" t="s">
        <v>68</v>
      </c>
      <c r="B88" s="373">
        <v>594.10399999999993</v>
      </c>
      <c r="C88" s="373">
        <v>410.64600000000007</v>
      </c>
      <c r="D88" s="373">
        <v>6193.8660000000009</v>
      </c>
      <c r="E88" s="373">
        <v>6604.5120000000006</v>
      </c>
      <c r="F88" s="373">
        <v>6870.6720000000005</v>
      </c>
      <c r="H88" s="380">
        <f t="shared" si="8"/>
        <v>7198.6160000000009</v>
      </c>
      <c r="I88" s="380">
        <f t="shared" si="9"/>
        <v>327.94400000000041</v>
      </c>
    </row>
    <row r="89" spans="1:12" ht="14.25">
      <c r="A89" s="372" t="s">
        <v>84</v>
      </c>
      <c r="B89" s="373">
        <v>123.42399999999999</v>
      </c>
      <c r="C89" s="373">
        <v>61.387999999999998</v>
      </c>
      <c r="D89" s="373">
        <v>1064.307</v>
      </c>
      <c r="E89" s="373">
        <v>1125.6949999999999</v>
      </c>
      <c r="F89" s="373">
        <v>1210.116</v>
      </c>
      <c r="H89" s="380">
        <f t="shared" si="8"/>
        <v>1249.1189999999999</v>
      </c>
      <c r="I89" s="380">
        <f t="shared" si="9"/>
        <v>39.002999999999929</v>
      </c>
    </row>
    <row r="90" spans="1:12" ht="14.25">
      <c r="A90" s="372" t="s">
        <v>85</v>
      </c>
      <c r="B90" s="373">
        <v>1302.32</v>
      </c>
      <c r="C90" s="373">
        <v>2297.9879999999998</v>
      </c>
      <c r="D90" s="373">
        <v>15567.397999999999</v>
      </c>
      <c r="E90" s="373">
        <v>17865.385999999999</v>
      </c>
      <c r="F90" s="373">
        <v>18570.875</v>
      </c>
      <c r="H90" s="380">
        <f t="shared" si="8"/>
        <v>19167.705999999998</v>
      </c>
      <c r="I90" s="380">
        <f t="shared" si="9"/>
        <v>596.83099999999831</v>
      </c>
    </row>
    <row r="91" spans="1:12" ht="14.25">
      <c r="A91" s="372" t="s">
        <v>86</v>
      </c>
      <c r="B91" s="373">
        <v>36.567999999999998</v>
      </c>
      <c r="C91" s="373">
        <v>18.256</v>
      </c>
      <c r="D91" s="373">
        <v>407.98900000000003</v>
      </c>
      <c r="E91" s="373">
        <v>426.245</v>
      </c>
      <c r="F91" s="373">
        <v>447.71599999999995</v>
      </c>
      <c r="H91" s="380">
        <f t="shared" si="8"/>
        <v>462.81299999999999</v>
      </c>
      <c r="I91" s="380">
        <f t="shared" si="9"/>
        <v>15.097000000000037</v>
      </c>
    </row>
    <row r="92" spans="1:12" ht="14.25">
      <c r="A92" s="372" t="s">
        <v>87</v>
      </c>
      <c r="B92" s="373">
        <v>153.631</v>
      </c>
      <c r="C92" s="373">
        <v>66.256</v>
      </c>
      <c r="D92" s="373">
        <v>1324.9179999999999</v>
      </c>
      <c r="E92" s="373">
        <v>1391.174</v>
      </c>
      <c r="F92" s="373">
        <v>1542.24</v>
      </c>
      <c r="H92" s="380">
        <f t="shared" si="8"/>
        <v>1544.8050000000001</v>
      </c>
      <c r="I92" s="380">
        <f t="shared" si="9"/>
        <v>2.5650000000000546</v>
      </c>
    </row>
    <row r="93" spans="1:12" ht="14.25">
      <c r="A93" s="374"/>
      <c r="B93" s="375"/>
      <c r="C93" s="375"/>
      <c r="D93" s="375"/>
      <c r="E93" s="375"/>
      <c r="F93" s="375"/>
      <c r="H93" s="381"/>
      <c r="I93" s="381"/>
    </row>
    <row r="94" spans="1:12" ht="14.25">
      <c r="A94" s="368" t="s">
        <v>428</v>
      </c>
      <c r="B94" s="369">
        <v>8982.6319999999978</v>
      </c>
      <c r="C94" s="369">
        <v>8249.7320000000018</v>
      </c>
      <c r="D94" s="369">
        <v>106109.54199999999</v>
      </c>
      <c r="E94" s="369">
        <v>114359.27400000002</v>
      </c>
      <c r="F94" s="369">
        <v>118724.97500000001</v>
      </c>
      <c r="H94" s="381">
        <f t="shared" ref="H94:H117" si="10">SUM(B94,E94)</f>
        <v>123341.90600000002</v>
      </c>
      <c r="I94" s="381">
        <f t="shared" ref="I94:I117" si="11">H94-F94</f>
        <v>4616.9310000000114</v>
      </c>
    </row>
    <row r="95" spans="1:12" ht="14.25">
      <c r="A95" s="370" t="s">
        <v>118</v>
      </c>
      <c r="B95" s="371">
        <v>310.435</v>
      </c>
      <c r="C95" s="371">
        <v>186.04300000000003</v>
      </c>
      <c r="D95" s="371">
        <v>3111.8230000000003</v>
      </c>
      <c r="E95" s="371">
        <v>3297.8660000000004</v>
      </c>
      <c r="F95" s="371">
        <v>3471.0389999999998</v>
      </c>
      <c r="H95" s="380">
        <f t="shared" si="10"/>
        <v>3608.3010000000004</v>
      </c>
      <c r="I95" s="380">
        <f t="shared" si="11"/>
        <v>137.26200000000063</v>
      </c>
      <c r="K95" s="380"/>
      <c r="L95" s="380"/>
    </row>
    <row r="96" spans="1:12" ht="14.25">
      <c r="A96" s="372" t="s">
        <v>119</v>
      </c>
      <c r="B96" s="373">
        <v>144.33000000000001</v>
      </c>
      <c r="C96" s="373">
        <v>80.513999999999996</v>
      </c>
      <c r="D96" s="373">
        <v>1300.365</v>
      </c>
      <c r="E96" s="373">
        <v>1380.8789999999999</v>
      </c>
      <c r="F96" s="373">
        <v>1488.942</v>
      </c>
      <c r="H96" s="380">
        <f t="shared" si="10"/>
        <v>1525.2089999999998</v>
      </c>
      <c r="I96" s="380">
        <f t="shared" si="11"/>
        <v>36.266999999999825</v>
      </c>
    </row>
    <row r="97" spans="1:9" ht="14.25">
      <c r="A97" s="372" t="s">
        <v>120</v>
      </c>
      <c r="B97" s="373">
        <v>284.95100000000002</v>
      </c>
      <c r="C97" s="373">
        <v>186.714</v>
      </c>
      <c r="D97" s="373">
        <v>3050.973</v>
      </c>
      <c r="E97" s="373">
        <v>3237.6869999999999</v>
      </c>
      <c r="F97" s="373">
        <v>3441.6620000000003</v>
      </c>
      <c r="H97" s="380">
        <f t="shared" si="10"/>
        <v>3522.6379999999999</v>
      </c>
      <c r="I97" s="380">
        <f t="shared" si="11"/>
        <v>80.975999999999658</v>
      </c>
    </row>
    <row r="98" spans="1:9" ht="14.25">
      <c r="A98" s="372" t="s">
        <v>121</v>
      </c>
      <c r="B98" s="373">
        <v>185.571</v>
      </c>
      <c r="C98" s="373">
        <v>126.69</v>
      </c>
      <c r="D98" s="373">
        <v>2188.58</v>
      </c>
      <c r="E98" s="373">
        <v>2315.27</v>
      </c>
      <c r="F98" s="373">
        <v>2401.1680000000001</v>
      </c>
      <c r="H98" s="380">
        <f t="shared" si="10"/>
        <v>2500.8409999999999</v>
      </c>
      <c r="I98" s="380">
        <f t="shared" si="11"/>
        <v>99.672999999999774</v>
      </c>
    </row>
    <row r="99" spans="1:9" ht="14.25">
      <c r="A99" s="372" t="s">
        <v>122</v>
      </c>
      <c r="B99" s="373">
        <v>1772.2320000000002</v>
      </c>
      <c r="C99" s="373">
        <v>1421.8799999999999</v>
      </c>
      <c r="D99" s="373">
        <v>24897.167999999998</v>
      </c>
      <c r="E99" s="373">
        <v>26319.047999999999</v>
      </c>
      <c r="F99" s="373">
        <v>27158.852000000003</v>
      </c>
      <c r="H99" s="380">
        <f t="shared" si="10"/>
        <v>28091.279999999999</v>
      </c>
      <c r="I99" s="380">
        <f t="shared" si="11"/>
        <v>932.42799999999625</v>
      </c>
    </row>
    <row r="100" spans="1:9" ht="14.25">
      <c r="A100" s="372" t="s">
        <v>123</v>
      </c>
      <c r="B100" s="373">
        <v>639.9</v>
      </c>
      <c r="C100" s="373">
        <v>637.50800000000004</v>
      </c>
      <c r="D100" s="373">
        <v>8881.1200000000008</v>
      </c>
      <c r="E100" s="373">
        <v>9518.6280000000006</v>
      </c>
      <c r="F100" s="373">
        <v>9792.5010000000002</v>
      </c>
      <c r="H100" s="380">
        <f t="shared" si="10"/>
        <v>10158.528</v>
      </c>
      <c r="I100" s="380">
        <f t="shared" si="11"/>
        <v>366.02700000000004</v>
      </c>
    </row>
    <row r="101" spans="1:9" ht="14.25">
      <c r="A101" s="372" t="s">
        <v>124</v>
      </c>
      <c r="B101" s="373">
        <v>236.83500000000001</v>
      </c>
      <c r="C101" s="373">
        <v>148.239</v>
      </c>
      <c r="D101" s="373">
        <v>2583.0510000000004</v>
      </c>
      <c r="E101" s="373">
        <v>2731.2900000000004</v>
      </c>
      <c r="F101" s="373">
        <v>2886.75</v>
      </c>
      <c r="H101" s="380">
        <f t="shared" si="10"/>
        <v>2968.1250000000005</v>
      </c>
      <c r="I101" s="380">
        <f t="shared" si="11"/>
        <v>81.375000000000455</v>
      </c>
    </row>
    <row r="102" spans="1:9" ht="14.25">
      <c r="A102" s="372" t="s">
        <v>125</v>
      </c>
      <c r="B102" s="373">
        <v>122.02600000000001</v>
      </c>
      <c r="C102" s="373">
        <v>56.64</v>
      </c>
      <c r="D102" s="373">
        <v>991.55399999999997</v>
      </c>
      <c r="E102" s="373">
        <v>1048.194</v>
      </c>
      <c r="F102" s="373">
        <v>1143.221</v>
      </c>
      <c r="H102" s="380">
        <f t="shared" si="10"/>
        <v>1170.22</v>
      </c>
      <c r="I102" s="380">
        <f t="shared" si="11"/>
        <v>26.999000000000024</v>
      </c>
    </row>
    <row r="103" spans="1:9" ht="14.25">
      <c r="A103" s="372" t="s">
        <v>126</v>
      </c>
      <c r="B103" s="373">
        <v>103.04600000000001</v>
      </c>
      <c r="C103" s="373">
        <v>64.684000000000012</v>
      </c>
      <c r="D103" s="373">
        <v>928.2360000000001</v>
      </c>
      <c r="E103" s="373">
        <v>992.92000000000007</v>
      </c>
      <c r="F103" s="373">
        <v>1068.144</v>
      </c>
      <c r="H103" s="380">
        <f t="shared" si="10"/>
        <v>1095.9660000000001</v>
      </c>
      <c r="I103" s="380">
        <f t="shared" si="11"/>
        <v>27.822000000000116</v>
      </c>
    </row>
    <row r="104" spans="1:9" ht="14.25">
      <c r="A104" s="372" t="s">
        <v>127</v>
      </c>
      <c r="B104" s="373">
        <v>404.75899999999996</v>
      </c>
      <c r="C104" s="373">
        <v>277.20000000000005</v>
      </c>
      <c r="D104" s="373">
        <v>4778.9280000000008</v>
      </c>
      <c r="E104" s="373">
        <v>5056.1280000000006</v>
      </c>
      <c r="F104" s="373">
        <v>5343</v>
      </c>
      <c r="H104" s="380">
        <f t="shared" si="10"/>
        <v>5460.8870000000006</v>
      </c>
      <c r="I104" s="380">
        <f t="shared" si="11"/>
        <v>117.88700000000063</v>
      </c>
    </row>
    <row r="105" spans="1:9" ht="14.25">
      <c r="A105" s="372" t="s">
        <v>128</v>
      </c>
      <c r="B105" s="373">
        <v>1033.1200000000001</v>
      </c>
      <c r="C105" s="373">
        <v>604.84400000000005</v>
      </c>
      <c r="D105" s="373">
        <v>10604.172</v>
      </c>
      <c r="E105" s="373">
        <v>11209.016</v>
      </c>
      <c r="F105" s="373">
        <v>11936.375999999998</v>
      </c>
      <c r="H105" s="380">
        <f t="shared" si="10"/>
        <v>12242.136</v>
      </c>
      <c r="I105" s="380">
        <f t="shared" si="11"/>
        <v>305.76000000000204</v>
      </c>
    </row>
    <row r="106" spans="1:9" ht="14.25">
      <c r="A106" s="372" t="s">
        <v>129</v>
      </c>
      <c r="B106" s="373">
        <v>432.39000000000004</v>
      </c>
      <c r="C106" s="373">
        <v>853.76499999999999</v>
      </c>
      <c r="D106" s="373">
        <v>4900.0649999999996</v>
      </c>
      <c r="E106" s="373">
        <v>5753.83</v>
      </c>
      <c r="F106" s="373">
        <v>5961.9590000000007</v>
      </c>
      <c r="H106" s="380">
        <f t="shared" si="10"/>
        <v>6186.22</v>
      </c>
      <c r="I106" s="380">
        <f t="shared" si="11"/>
        <v>224.26099999999951</v>
      </c>
    </row>
    <row r="107" spans="1:9" ht="14.25">
      <c r="A107" s="372" t="s">
        <v>130</v>
      </c>
      <c r="B107" s="373">
        <v>433.55200000000002</v>
      </c>
      <c r="C107" s="373">
        <v>255.45999999999998</v>
      </c>
      <c r="D107" s="373">
        <v>3744.1320000000001</v>
      </c>
      <c r="E107" s="373">
        <v>3999.5920000000001</v>
      </c>
      <c r="F107" s="373">
        <v>4310.6579999999994</v>
      </c>
      <c r="H107" s="380">
        <f t="shared" si="10"/>
        <v>4433.1440000000002</v>
      </c>
      <c r="I107" s="380">
        <f t="shared" si="11"/>
        <v>122.48600000000079</v>
      </c>
    </row>
    <row r="108" spans="1:9" ht="14.25">
      <c r="A108" s="372" t="s">
        <v>131</v>
      </c>
      <c r="B108" s="373">
        <v>160.65600000000001</v>
      </c>
      <c r="C108" s="373">
        <v>184.04399999999998</v>
      </c>
      <c r="D108" s="373">
        <v>1754.4449999999999</v>
      </c>
      <c r="E108" s="373">
        <v>1938.489</v>
      </c>
      <c r="F108" s="373">
        <v>2033.6820000000002</v>
      </c>
      <c r="H108" s="380">
        <f t="shared" si="10"/>
        <v>2099.145</v>
      </c>
      <c r="I108" s="380">
        <f t="shared" si="11"/>
        <v>65.462999999999738</v>
      </c>
    </row>
    <row r="109" spans="1:9" ht="14.25">
      <c r="A109" s="372" t="s">
        <v>132</v>
      </c>
      <c r="B109" s="373">
        <v>343.55200000000002</v>
      </c>
      <c r="C109" s="373">
        <v>246.76</v>
      </c>
      <c r="D109" s="373">
        <v>3983.81</v>
      </c>
      <c r="E109" s="373">
        <v>4230.57</v>
      </c>
      <c r="F109" s="373">
        <v>4422.8519999999999</v>
      </c>
      <c r="H109" s="380">
        <f t="shared" si="10"/>
        <v>4574.1219999999994</v>
      </c>
      <c r="I109" s="380">
        <f t="shared" si="11"/>
        <v>151.26999999999953</v>
      </c>
    </row>
    <row r="110" spans="1:9" ht="14.25">
      <c r="A110" s="372" t="s">
        <v>133</v>
      </c>
      <c r="B110" s="373">
        <v>126.36000000000001</v>
      </c>
      <c r="C110" s="373">
        <v>65.423999999999992</v>
      </c>
      <c r="D110" s="373">
        <v>1474.8239999999998</v>
      </c>
      <c r="E110" s="373">
        <v>1540.2479999999998</v>
      </c>
      <c r="F110" s="373">
        <v>1622.84</v>
      </c>
      <c r="H110" s="380">
        <f t="shared" si="10"/>
        <v>1666.6079999999997</v>
      </c>
      <c r="I110" s="380">
        <f t="shared" si="11"/>
        <v>43.767999999999802</v>
      </c>
    </row>
    <row r="111" spans="1:9" ht="14.25">
      <c r="A111" s="372" t="s">
        <v>134</v>
      </c>
      <c r="B111" s="373">
        <v>213.91200000000003</v>
      </c>
      <c r="C111" s="373">
        <v>92.001999999999995</v>
      </c>
      <c r="D111" s="373">
        <v>1712.556</v>
      </c>
      <c r="E111" s="373">
        <v>1804.558</v>
      </c>
      <c r="F111" s="373">
        <v>1967.2400000000002</v>
      </c>
      <c r="H111" s="380">
        <f t="shared" si="10"/>
        <v>2018.47</v>
      </c>
      <c r="I111" s="380">
        <f t="shared" si="11"/>
        <v>51.229999999999791</v>
      </c>
    </row>
    <row r="112" spans="1:9" ht="14.25">
      <c r="A112" s="372" t="s">
        <v>135</v>
      </c>
      <c r="B112" s="373">
        <v>463.04700000000003</v>
      </c>
      <c r="C112" s="373">
        <v>388.274</v>
      </c>
      <c r="D112" s="373">
        <v>6221.348</v>
      </c>
      <c r="E112" s="373">
        <v>6609.6220000000003</v>
      </c>
      <c r="F112" s="373">
        <v>6823.08</v>
      </c>
      <c r="H112" s="380">
        <f t="shared" si="10"/>
        <v>7072.6689999999999</v>
      </c>
      <c r="I112" s="380">
        <f t="shared" si="11"/>
        <v>249.58899999999994</v>
      </c>
    </row>
    <row r="113" spans="1:19" ht="14.25">
      <c r="A113" s="372" t="s">
        <v>136</v>
      </c>
      <c r="B113" s="373">
        <v>178.608</v>
      </c>
      <c r="C113" s="373">
        <v>98.39200000000001</v>
      </c>
      <c r="D113" s="373">
        <v>1616.412</v>
      </c>
      <c r="E113" s="373">
        <v>1714.8040000000001</v>
      </c>
      <c r="F113" s="373">
        <v>1856.643</v>
      </c>
      <c r="H113" s="380">
        <f t="shared" si="10"/>
        <v>1893.412</v>
      </c>
      <c r="I113" s="380">
        <f t="shared" si="11"/>
        <v>36.769000000000005</v>
      </c>
    </row>
    <row r="114" spans="1:19" ht="14.25">
      <c r="A114" s="372" t="s">
        <v>137</v>
      </c>
      <c r="B114" s="373">
        <v>343.22400000000005</v>
      </c>
      <c r="C114" s="373">
        <v>293.709</v>
      </c>
      <c r="D114" s="373">
        <v>3724.5129999999999</v>
      </c>
      <c r="E114" s="373">
        <v>4018.2219999999998</v>
      </c>
      <c r="F114" s="373">
        <v>4130.82</v>
      </c>
      <c r="H114" s="380">
        <f t="shared" si="10"/>
        <v>4361.4459999999999</v>
      </c>
      <c r="I114" s="380">
        <f t="shared" si="11"/>
        <v>230.6260000000002</v>
      </c>
    </row>
    <row r="115" spans="1:19" ht="14.25">
      <c r="A115" s="372" t="s">
        <v>138</v>
      </c>
      <c r="B115" s="373">
        <v>279.13299999999998</v>
      </c>
      <c r="C115" s="373">
        <v>1468.3770000000002</v>
      </c>
      <c r="D115" s="373">
        <v>5226.4440000000004</v>
      </c>
      <c r="E115" s="373">
        <v>6694.8210000000008</v>
      </c>
      <c r="F115" s="373">
        <v>6222.42</v>
      </c>
      <c r="H115" s="380">
        <f t="shared" si="10"/>
        <v>6973.9540000000006</v>
      </c>
      <c r="I115" s="380">
        <f t="shared" si="11"/>
        <v>751.53400000000056</v>
      </c>
    </row>
    <row r="116" spans="1:19" ht="14.25">
      <c r="A116" s="372" t="s">
        <v>139</v>
      </c>
      <c r="B116" s="373">
        <v>614.19299999999998</v>
      </c>
      <c r="C116" s="373">
        <v>420.56300000000005</v>
      </c>
      <c r="D116" s="373">
        <v>6688.6990000000005</v>
      </c>
      <c r="E116" s="373">
        <v>7109.2620000000006</v>
      </c>
      <c r="F116" s="373">
        <v>7332.9060000000009</v>
      </c>
      <c r="H116" s="380">
        <f t="shared" si="10"/>
        <v>7723.4550000000008</v>
      </c>
      <c r="I116" s="380">
        <f t="shared" si="11"/>
        <v>390.54899999999998</v>
      </c>
    </row>
    <row r="117" spans="1:19" ht="14.25">
      <c r="A117" s="372" t="s">
        <v>140</v>
      </c>
      <c r="B117" s="373">
        <v>156.79999999999998</v>
      </c>
      <c r="C117" s="373">
        <v>92.006</v>
      </c>
      <c r="D117" s="373">
        <v>1746.3239999999998</v>
      </c>
      <c r="E117" s="373">
        <v>1838.33</v>
      </c>
      <c r="F117" s="373">
        <v>1908.2199999999998</v>
      </c>
      <c r="H117" s="380">
        <f t="shared" si="10"/>
        <v>1995.1299999999999</v>
      </c>
      <c r="I117" s="380">
        <f t="shared" si="11"/>
        <v>86.910000000000082</v>
      </c>
    </row>
    <row r="118" spans="1:19" ht="14.25">
      <c r="A118" s="374"/>
      <c r="B118" s="375"/>
      <c r="C118" s="375"/>
      <c r="D118" s="375"/>
      <c r="E118" s="375"/>
      <c r="F118" s="375"/>
      <c r="H118" s="380"/>
      <c r="I118" s="380"/>
    </row>
    <row r="119" spans="1:19" ht="14.25">
      <c r="A119" s="374" t="s">
        <v>228</v>
      </c>
      <c r="B119" s="375">
        <v>92157.763999999981</v>
      </c>
      <c r="C119" s="375">
        <v>74519.261999999973</v>
      </c>
      <c r="D119" s="375">
        <v>996912.89599999995</v>
      </c>
      <c r="E119" s="375">
        <v>1071432.1579999998</v>
      </c>
      <c r="F119" s="375">
        <v>1122525.571</v>
      </c>
      <c r="H119" s="381">
        <f>SUM(B119,E119)</f>
        <v>1163589.9219999998</v>
      </c>
      <c r="I119" s="381">
        <f>H119-F119</f>
        <v>41064.350999999791</v>
      </c>
    </row>
    <row r="120" spans="1:19" ht="14.25">
      <c r="A120" s="318"/>
      <c r="B120" s="318"/>
      <c r="C120" s="318"/>
      <c r="D120" s="318"/>
      <c r="E120" s="318"/>
      <c r="I120" s="380"/>
    </row>
    <row r="121" spans="1:19" ht="30" customHeight="1">
      <c r="A121" s="447" t="s">
        <v>441</v>
      </c>
      <c r="B121" s="447"/>
      <c r="C121" s="447"/>
      <c r="D121" s="447"/>
      <c r="E121" s="447"/>
      <c r="F121" s="447"/>
      <c r="H121" s="381">
        <f>SUM(H5:H117)/2</f>
        <v>1163589.922</v>
      </c>
      <c r="I121" s="381">
        <f>SUM(I5:I117)/2</f>
        <v>41064.351000000068</v>
      </c>
    </row>
    <row r="122" spans="1:19" ht="30" customHeight="1">
      <c r="A122" s="447" t="s">
        <v>442</v>
      </c>
      <c r="B122" s="447"/>
      <c r="C122" s="447"/>
      <c r="D122" s="447"/>
      <c r="E122" s="447"/>
      <c r="F122" s="447"/>
      <c r="G122" s="162"/>
      <c r="H122" s="162"/>
      <c r="I122" s="162"/>
      <c r="J122" s="162"/>
      <c r="K122" s="162"/>
      <c r="L122" s="162"/>
      <c r="M122" s="162"/>
      <c r="N122" s="162"/>
      <c r="O122" s="162"/>
      <c r="P122" s="162"/>
      <c r="Q122" s="162"/>
      <c r="R122" s="162"/>
      <c r="S122" s="162"/>
    </row>
    <row r="123" spans="1:19" ht="50.1" customHeight="1">
      <c r="A123" s="447" t="s">
        <v>443</v>
      </c>
      <c r="B123" s="447"/>
      <c r="C123" s="447"/>
      <c r="D123" s="447"/>
      <c r="E123" s="447"/>
      <c r="F123" s="447"/>
      <c r="G123" s="162"/>
      <c r="H123" s="162"/>
      <c r="I123" s="162"/>
      <c r="J123" s="162"/>
      <c r="K123" s="162"/>
      <c r="L123" s="162"/>
      <c r="M123" s="162"/>
      <c r="N123" s="162"/>
      <c r="O123" s="162"/>
      <c r="P123" s="162"/>
      <c r="Q123" s="162"/>
      <c r="R123" s="162"/>
      <c r="S123" s="162"/>
    </row>
    <row r="131" spans="1:6" ht="14.25">
      <c r="A131" s="382"/>
      <c r="B131" s="383"/>
      <c r="C131" s="383"/>
      <c r="D131" s="383"/>
      <c r="E131" s="383"/>
      <c r="F131" s="383"/>
    </row>
    <row r="132" spans="1:6" ht="14.25">
      <c r="A132" s="318"/>
      <c r="B132" s="318"/>
      <c r="C132" s="318"/>
      <c r="D132" s="318"/>
      <c r="E132" s="318"/>
      <c r="F132" s="318"/>
    </row>
    <row r="133" spans="1:6" ht="14.25">
      <c r="A133" s="318"/>
      <c r="B133" s="318"/>
      <c r="C133" s="318"/>
      <c r="D133" s="318"/>
      <c r="E133" s="318"/>
      <c r="F133" s="318"/>
    </row>
    <row r="134" spans="1:6" ht="14.25">
      <c r="A134" s="318"/>
      <c r="B134" s="318"/>
      <c r="C134" s="318"/>
      <c r="D134" s="318"/>
      <c r="E134" s="318"/>
      <c r="F134" s="318"/>
    </row>
    <row r="135" spans="1:6" ht="14.25">
      <c r="A135" s="318"/>
      <c r="B135" s="318"/>
      <c r="C135" s="318"/>
      <c r="D135" s="318"/>
      <c r="E135" s="318"/>
      <c r="F135" s="318"/>
    </row>
    <row r="136" spans="1:6" ht="14.25">
      <c r="A136" s="318"/>
      <c r="B136" s="318"/>
      <c r="C136" s="318"/>
      <c r="D136" s="318"/>
      <c r="E136" s="318"/>
      <c r="F136" s="318"/>
    </row>
    <row r="137" spans="1:6" ht="14.25">
      <c r="A137" s="318"/>
      <c r="B137" s="318"/>
      <c r="C137" s="318"/>
      <c r="D137" s="318"/>
      <c r="E137" s="318"/>
      <c r="F137" s="318"/>
    </row>
    <row r="138" spans="1:6" ht="14.25">
      <c r="A138" s="318"/>
      <c r="B138" s="318"/>
      <c r="C138" s="318"/>
      <c r="D138" s="318"/>
      <c r="E138" s="318"/>
      <c r="F138" s="318"/>
    </row>
    <row r="139" spans="1:6" ht="14.25">
      <c r="A139" s="318"/>
      <c r="B139" s="318"/>
      <c r="C139" s="318"/>
      <c r="D139" s="318"/>
      <c r="E139" s="318"/>
      <c r="F139" s="318"/>
    </row>
    <row r="140" spans="1:6" ht="14.25">
      <c r="A140" s="318"/>
      <c r="B140" s="318"/>
      <c r="C140" s="318"/>
      <c r="D140" s="318"/>
      <c r="E140" s="318"/>
      <c r="F140" s="318"/>
    </row>
    <row r="141" spans="1:6" ht="14.25">
      <c r="A141" s="318"/>
      <c r="B141" s="318"/>
      <c r="C141" s="318"/>
      <c r="D141" s="318"/>
      <c r="E141" s="318"/>
      <c r="F141" s="318"/>
    </row>
    <row r="142" spans="1:6" ht="14.25">
      <c r="A142" s="318"/>
      <c r="B142" s="318"/>
      <c r="C142" s="318"/>
      <c r="D142" s="318"/>
      <c r="E142" s="318"/>
      <c r="F142" s="318"/>
    </row>
    <row r="143" spans="1:6" ht="14.25">
      <c r="A143" s="318"/>
      <c r="B143" s="318"/>
      <c r="C143" s="318"/>
      <c r="D143" s="318"/>
      <c r="E143" s="318"/>
      <c r="F143" s="318"/>
    </row>
    <row r="144" spans="1:6" ht="14.25">
      <c r="A144" s="318"/>
      <c r="B144" s="318"/>
      <c r="C144" s="318"/>
      <c r="D144" s="318"/>
      <c r="E144" s="318"/>
      <c r="F144" s="318"/>
    </row>
    <row r="145" spans="1:6" ht="14.25">
      <c r="A145" s="318"/>
      <c r="B145" s="318"/>
      <c r="C145" s="318"/>
      <c r="D145" s="318"/>
      <c r="E145" s="318"/>
      <c r="F145" s="318"/>
    </row>
    <row r="146" spans="1:6" ht="14.25">
      <c r="A146" s="318"/>
      <c r="B146" s="318"/>
      <c r="C146" s="318"/>
      <c r="D146" s="318"/>
      <c r="E146" s="318"/>
      <c r="F146" s="318"/>
    </row>
    <row r="147" spans="1:6" ht="14.25">
      <c r="A147" s="318"/>
      <c r="B147" s="318"/>
      <c r="C147" s="318"/>
      <c r="D147" s="318"/>
      <c r="E147" s="318"/>
      <c r="F147" s="318"/>
    </row>
    <row r="148" spans="1:6" ht="14.25">
      <c r="A148" s="318"/>
      <c r="B148" s="318"/>
      <c r="C148" s="318"/>
      <c r="D148" s="318"/>
      <c r="E148" s="318"/>
      <c r="F148" s="318"/>
    </row>
    <row r="149" spans="1:6" ht="14.25">
      <c r="A149" s="318"/>
      <c r="B149" s="318"/>
      <c r="C149" s="318"/>
      <c r="D149" s="318"/>
      <c r="E149" s="318"/>
      <c r="F149" s="318"/>
    </row>
    <row r="150" spans="1:6" ht="14.25">
      <c r="A150" s="318"/>
      <c r="B150" s="318"/>
      <c r="C150" s="318"/>
      <c r="D150" s="318"/>
      <c r="E150" s="318"/>
      <c r="F150" s="318"/>
    </row>
    <row r="151" spans="1:6" ht="14.25">
      <c r="A151" s="318"/>
      <c r="B151" s="318"/>
      <c r="C151" s="318"/>
      <c r="D151" s="318"/>
      <c r="E151" s="318"/>
      <c r="F151" s="318"/>
    </row>
    <row r="152" spans="1:6" ht="14.25">
      <c r="A152" s="318"/>
      <c r="B152" s="318"/>
      <c r="C152" s="318"/>
      <c r="D152" s="318"/>
      <c r="E152" s="318"/>
      <c r="F152" s="318"/>
    </row>
    <row r="153" spans="1:6" ht="14.25">
      <c r="A153" s="318"/>
      <c r="B153" s="318"/>
      <c r="C153" s="318"/>
      <c r="D153" s="318"/>
      <c r="E153" s="318"/>
      <c r="F153" s="318"/>
    </row>
    <row r="154" spans="1:6" ht="14.25">
      <c r="A154" s="318"/>
      <c r="B154" s="318"/>
      <c r="C154" s="318"/>
      <c r="D154" s="318"/>
      <c r="E154" s="318"/>
      <c r="F154" s="318"/>
    </row>
    <row r="155" spans="1:6" ht="14.25">
      <c r="A155" s="318"/>
      <c r="B155" s="318"/>
      <c r="C155" s="318"/>
      <c r="D155" s="318"/>
      <c r="E155" s="318"/>
      <c r="F155" s="318"/>
    </row>
    <row r="156" spans="1:6" ht="14.25">
      <c r="A156" s="318"/>
      <c r="B156" s="318"/>
      <c r="C156" s="318"/>
      <c r="D156" s="318"/>
      <c r="E156" s="318"/>
      <c r="F156" s="318"/>
    </row>
    <row r="157" spans="1:6" ht="14.25">
      <c r="A157" s="318"/>
      <c r="B157" s="318"/>
      <c r="C157" s="318"/>
      <c r="D157" s="318"/>
      <c r="E157" s="318"/>
      <c r="F157" s="318"/>
    </row>
    <row r="158" spans="1:6" ht="14.25">
      <c r="A158" s="318"/>
      <c r="B158" s="318"/>
      <c r="C158" s="318"/>
      <c r="D158" s="318"/>
      <c r="E158" s="318"/>
      <c r="F158" s="318"/>
    </row>
    <row r="159" spans="1:6" ht="14.25">
      <c r="A159" s="318"/>
      <c r="B159" s="318"/>
      <c r="C159" s="318"/>
      <c r="D159" s="318"/>
      <c r="E159" s="318"/>
      <c r="F159" s="318"/>
    </row>
    <row r="160" spans="1:6" ht="14.25">
      <c r="A160" s="318"/>
      <c r="B160" s="318"/>
      <c r="C160" s="318"/>
      <c r="D160" s="318"/>
      <c r="E160" s="318"/>
      <c r="F160" s="318"/>
    </row>
    <row r="161" spans="1:6" ht="14.25">
      <c r="A161" s="318"/>
      <c r="B161" s="318"/>
      <c r="C161" s="318"/>
      <c r="D161" s="318"/>
      <c r="E161" s="318"/>
      <c r="F161" s="318"/>
    </row>
    <row r="162" spans="1:6" ht="14.25">
      <c r="A162" s="318"/>
      <c r="B162" s="318"/>
      <c r="C162" s="318"/>
      <c r="D162" s="318"/>
      <c r="E162" s="318"/>
      <c r="F162" s="318"/>
    </row>
    <row r="163" spans="1:6" ht="14.25">
      <c r="A163" s="318"/>
      <c r="B163" s="318"/>
      <c r="C163" s="318"/>
      <c r="D163" s="318"/>
      <c r="E163" s="318"/>
      <c r="F163" s="318"/>
    </row>
    <row r="164" spans="1:6" ht="14.25">
      <c r="A164" s="318"/>
      <c r="B164" s="318"/>
      <c r="C164" s="318"/>
      <c r="D164" s="318"/>
      <c r="E164" s="318"/>
      <c r="F164" s="318"/>
    </row>
    <row r="165" spans="1:6" ht="14.25">
      <c r="A165" s="318"/>
      <c r="B165" s="318"/>
      <c r="C165" s="318"/>
      <c r="D165" s="318"/>
      <c r="E165" s="318"/>
      <c r="F165" s="318"/>
    </row>
    <row r="166" spans="1:6" ht="14.25">
      <c r="A166" s="318"/>
      <c r="B166" s="318"/>
      <c r="C166" s="318"/>
      <c r="D166" s="318"/>
      <c r="E166" s="318"/>
      <c r="F166" s="318"/>
    </row>
    <row r="167" spans="1:6" ht="14.25">
      <c r="A167" s="318"/>
      <c r="B167" s="318"/>
      <c r="C167" s="318"/>
      <c r="D167" s="318"/>
      <c r="E167" s="318"/>
      <c r="F167" s="318"/>
    </row>
    <row r="168" spans="1:6" ht="14.25">
      <c r="A168" s="318"/>
      <c r="B168" s="318"/>
      <c r="C168" s="318"/>
      <c r="D168" s="318"/>
      <c r="E168" s="318"/>
      <c r="F168" s="318"/>
    </row>
    <row r="169" spans="1:6" ht="14.25">
      <c r="A169" s="318"/>
      <c r="B169" s="318"/>
      <c r="C169" s="318"/>
      <c r="D169" s="318"/>
      <c r="E169" s="318"/>
      <c r="F169" s="318"/>
    </row>
    <row r="170" spans="1:6" ht="14.25">
      <c r="A170" s="318"/>
      <c r="B170" s="318"/>
      <c r="C170" s="318"/>
      <c r="D170" s="318"/>
      <c r="E170" s="318"/>
      <c r="F170" s="318"/>
    </row>
    <row r="171" spans="1:6" ht="14.25">
      <c r="A171" s="318"/>
      <c r="B171" s="318"/>
      <c r="C171" s="318"/>
      <c r="D171" s="318"/>
      <c r="E171" s="318"/>
      <c r="F171" s="318"/>
    </row>
    <row r="172" spans="1:6" ht="14.25">
      <c r="A172" s="318"/>
      <c r="B172" s="318"/>
      <c r="C172" s="318"/>
      <c r="D172" s="318"/>
      <c r="E172" s="318"/>
      <c r="F172" s="318"/>
    </row>
    <row r="173" spans="1:6" ht="14.25">
      <c r="A173" s="318"/>
      <c r="B173" s="318"/>
      <c r="C173" s="318"/>
      <c r="D173" s="318"/>
      <c r="E173" s="318"/>
      <c r="F173" s="318"/>
    </row>
    <row r="174" spans="1:6" ht="14.25">
      <c r="A174" s="318"/>
      <c r="B174" s="318"/>
      <c r="C174" s="318"/>
      <c r="D174" s="318"/>
      <c r="E174" s="318"/>
      <c r="F174" s="318"/>
    </row>
    <row r="175" spans="1:6" ht="14.25">
      <c r="A175" s="318"/>
      <c r="B175" s="318"/>
      <c r="C175" s="318"/>
      <c r="D175" s="318"/>
      <c r="E175" s="318"/>
      <c r="F175" s="318"/>
    </row>
    <row r="176" spans="1:6" ht="14.25">
      <c r="A176" s="318"/>
      <c r="B176" s="318"/>
      <c r="C176" s="318"/>
      <c r="D176" s="318"/>
      <c r="E176" s="318"/>
      <c r="F176" s="318"/>
    </row>
    <row r="177" spans="1:6" ht="14.25">
      <c r="A177" s="318"/>
      <c r="B177" s="318"/>
      <c r="C177" s="318"/>
      <c r="D177" s="318"/>
      <c r="E177" s="318"/>
      <c r="F177" s="318"/>
    </row>
    <row r="178" spans="1:6" ht="14.25">
      <c r="A178" s="318"/>
      <c r="B178" s="318"/>
      <c r="C178" s="318"/>
      <c r="D178" s="318"/>
      <c r="E178" s="318"/>
      <c r="F178" s="318"/>
    </row>
    <row r="179" spans="1:6" ht="14.25">
      <c r="A179" s="318"/>
      <c r="B179" s="318"/>
      <c r="C179" s="318"/>
      <c r="D179" s="318"/>
      <c r="E179" s="318"/>
      <c r="F179" s="318"/>
    </row>
    <row r="180" spans="1:6" ht="14.25">
      <c r="A180" s="318"/>
      <c r="B180" s="318"/>
      <c r="C180" s="318"/>
      <c r="D180" s="318"/>
      <c r="E180" s="318"/>
      <c r="F180" s="318"/>
    </row>
    <row r="181" spans="1:6" ht="14.25">
      <c r="A181" s="318"/>
      <c r="B181" s="318"/>
      <c r="C181" s="318"/>
      <c r="D181" s="318"/>
      <c r="E181" s="318"/>
      <c r="F181" s="318"/>
    </row>
    <row r="182" spans="1:6" ht="14.25">
      <c r="A182" s="318"/>
      <c r="B182" s="318"/>
      <c r="C182" s="318"/>
      <c r="D182" s="318"/>
      <c r="E182" s="318"/>
      <c r="F182" s="318"/>
    </row>
    <row r="183" spans="1:6" ht="14.25">
      <c r="A183" s="318"/>
      <c r="B183" s="318"/>
      <c r="C183" s="318"/>
      <c r="D183" s="318"/>
      <c r="E183" s="318"/>
      <c r="F183" s="318"/>
    </row>
    <row r="184" spans="1:6" ht="14.25">
      <c r="A184" s="318"/>
      <c r="B184" s="318"/>
      <c r="C184" s="318"/>
      <c r="D184" s="318"/>
      <c r="E184" s="318"/>
      <c r="F184" s="318"/>
    </row>
    <row r="185" spans="1:6" ht="14.25">
      <c r="A185" s="318"/>
      <c r="B185" s="318"/>
      <c r="C185" s="318"/>
      <c r="D185" s="318"/>
      <c r="E185" s="318"/>
      <c r="F185" s="318"/>
    </row>
    <row r="186" spans="1:6" ht="14.25">
      <c r="A186" s="318"/>
      <c r="B186" s="318"/>
      <c r="C186" s="318"/>
      <c r="D186" s="318"/>
      <c r="E186" s="318"/>
      <c r="F186" s="318"/>
    </row>
    <row r="187" spans="1:6" ht="14.25">
      <c r="A187" s="318"/>
      <c r="B187" s="318"/>
      <c r="C187" s="318"/>
      <c r="D187" s="318"/>
      <c r="E187" s="318"/>
      <c r="F187" s="318"/>
    </row>
    <row r="188" spans="1:6" ht="14.25">
      <c r="A188" s="318"/>
      <c r="B188" s="318"/>
      <c r="C188" s="318"/>
      <c r="D188" s="318"/>
      <c r="E188" s="318"/>
      <c r="F188" s="318"/>
    </row>
    <row r="189" spans="1:6" ht="14.25">
      <c r="A189" s="318"/>
      <c r="B189" s="318"/>
      <c r="C189" s="318"/>
      <c r="D189" s="318"/>
      <c r="E189" s="318"/>
      <c r="F189" s="318"/>
    </row>
    <row r="190" spans="1:6" ht="14.25">
      <c r="A190" s="318"/>
      <c r="B190" s="318"/>
      <c r="C190" s="318"/>
      <c r="D190" s="318"/>
      <c r="E190" s="318"/>
      <c r="F190" s="318"/>
    </row>
    <row r="191" spans="1:6" ht="14.25">
      <c r="A191" s="318"/>
      <c r="B191" s="318"/>
      <c r="C191" s="318"/>
      <c r="D191" s="318"/>
      <c r="E191" s="318"/>
      <c r="F191" s="318"/>
    </row>
    <row r="192" spans="1:6" ht="14.25">
      <c r="A192" s="318"/>
      <c r="B192" s="318"/>
      <c r="C192" s="318"/>
      <c r="D192" s="318"/>
      <c r="E192" s="318"/>
      <c r="F192" s="318"/>
    </row>
    <row r="193" spans="1:6" ht="14.25">
      <c r="A193" s="318"/>
      <c r="B193" s="318"/>
      <c r="C193" s="318"/>
      <c r="D193" s="318"/>
      <c r="E193" s="318"/>
      <c r="F193" s="318"/>
    </row>
    <row r="194" spans="1:6" ht="14.25">
      <c r="A194" s="318"/>
      <c r="B194" s="318"/>
      <c r="C194" s="318"/>
      <c r="D194" s="318"/>
      <c r="E194" s="318"/>
      <c r="F194" s="318"/>
    </row>
    <row r="195" spans="1:6" ht="14.25">
      <c r="A195" s="318"/>
      <c r="B195" s="318"/>
      <c r="C195" s="318"/>
      <c r="D195" s="318"/>
      <c r="E195" s="318"/>
      <c r="F195" s="318"/>
    </row>
    <row r="196" spans="1:6" ht="14.25">
      <c r="A196" s="318"/>
      <c r="B196" s="318"/>
      <c r="C196" s="318"/>
      <c r="D196" s="318"/>
      <c r="E196" s="318"/>
      <c r="F196" s="318"/>
    </row>
    <row r="197" spans="1:6" ht="14.25">
      <c r="A197" s="318"/>
      <c r="B197" s="318"/>
      <c r="C197" s="318"/>
      <c r="D197" s="318"/>
      <c r="E197" s="318"/>
      <c r="F197" s="318"/>
    </row>
    <row r="198" spans="1:6" ht="14.25">
      <c r="A198" s="318"/>
      <c r="B198" s="318"/>
      <c r="C198" s="318"/>
      <c r="D198" s="318"/>
      <c r="E198" s="318"/>
      <c r="F198" s="318"/>
    </row>
    <row r="199" spans="1:6" ht="14.25">
      <c r="A199" s="318"/>
      <c r="B199" s="318"/>
      <c r="C199" s="318"/>
      <c r="D199" s="318"/>
      <c r="E199" s="318"/>
      <c r="F199" s="318"/>
    </row>
    <row r="200" spans="1:6" ht="14.25">
      <c r="A200" s="318"/>
      <c r="B200" s="318"/>
      <c r="C200" s="318"/>
      <c r="D200" s="318"/>
      <c r="E200" s="318"/>
      <c r="F200" s="318"/>
    </row>
    <row r="201" spans="1:6" ht="14.25">
      <c r="A201" s="318"/>
      <c r="B201" s="318"/>
      <c r="C201" s="318"/>
      <c r="D201" s="318"/>
      <c r="E201" s="318"/>
      <c r="F201" s="318"/>
    </row>
    <row r="202" spans="1:6" ht="14.25">
      <c r="A202" s="318"/>
      <c r="B202" s="318"/>
      <c r="C202" s="318"/>
      <c r="D202" s="318"/>
      <c r="E202" s="318"/>
      <c r="F202" s="318"/>
    </row>
    <row r="203" spans="1:6" ht="14.25">
      <c r="A203" s="318"/>
      <c r="B203" s="318"/>
      <c r="C203" s="318"/>
      <c r="D203" s="318"/>
      <c r="E203" s="318"/>
      <c r="F203" s="318"/>
    </row>
    <row r="204" spans="1:6" ht="14.25">
      <c r="A204" s="318"/>
      <c r="B204" s="318"/>
      <c r="C204" s="318"/>
      <c r="D204" s="318"/>
      <c r="E204" s="318"/>
      <c r="F204" s="318"/>
    </row>
    <row r="205" spans="1:6" ht="14.25">
      <c r="A205" s="318"/>
      <c r="B205" s="318"/>
      <c r="C205" s="318"/>
      <c r="D205" s="318"/>
      <c r="E205" s="318"/>
      <c r="F205" s="318"/>
    </row>
    <row r="206" spans="1:6" ht="14.25">
      <c r="A206" s="318"/>
      <c r="B206" s="318"/>
      <c r="C206" s="318"/>
      <c r="D206" s="318"/>
      <c r="E206" s="318"/>
      <c r="F206" s="318"/>
    </row>
    <row r="207" spans="1:6" ht="14.25">
      <c r="A207" s="318"/>
      <c r="B207" s="318"/>
      <c r="C207" s="318"/>
      <c r="D207" s="318"/>
      <c r="E207" s="318"/>
      <c r="F207" s="318"/>
    </row>
    <row r="208" spans="1:6" ht="14.25">
      <c r="A208" s="318"/>
      <c r="B208" s="318"/>
      <c r="C208" s="318"/>
      <c r="D208" s="318"/>
      <c r="E208" s="318"/>
      <c r="F208" s="318"/>
    </row>
    <row r="209" spans="1:6" ht="14.25">
      <c r="A209" s="318"/>
      <c r="B209" s="318"/>
      <c r="C209" s="318"/>
      <c r="D209" s="318"/>
      <c r="E209" s="318"/>
      <c r="F209" s="318"/>
    </row>
    <row r="210" spans="1:6" ht="14.25">
      <c r="A210" s="318"/>
      <c r="B210" s="318"/>
      <c r="C210" s="318"/>
      <c r="D210" s="318"/>
      <c r="E210" s="318"/>
      <c r="F210" s="318"/>
    </row>
    <row r="211" spans="1:6" ht="14.25">
      <c r="A211" s="318"/>
      <c r="B211" s="318"/>
      <c r="C211" s="318"/>
      <c r="D211" s="318"/>
      <c r="E211" s="318"/>
      <c r="F211" s="318"/>
    </row>
    <row r="212" spans="1:6" ht="14.25">
      <c r="A212" s="318"/>
      <c r="B212" s="318"/>
      <c r="C212" s="318"/>
      <c r="D212" s="318"/>
      <c r="E212" s="318"/>
      <c r="F212" s="318"/>
    </row>
    <row r="213" spans="1:6" ht="14.25">
      <c r="A213" s="318"/>
      <c r="B213" s="318"/>
      <c r="C213" s="318"/>
      <c r="D213" s="318"/>
      <c r="E213" s="318"/>
      <c r="F213" s="318"/>
    </row>
    <row r="214" spans="1:6" ht="14.25">
      <c r="A214" s="318"/>
      <c r="B214" s="318"/>
      <c r="C214" s="318"/>
      <c r="D214" s="318"/>
      <c r="E214" s="318"/>
      <c r="F214" s="318"/>
    </row>
    <row r="215" spans="1:6" ht="14.25">
      <c r="A215" s="318"/>
      <c r="B215" s="318"/>
      <c r="C215" s="318"/>
      <c r="D215" s="318"/>
      <c r="E215" s="318"/>
      <c r="F215" s="318"/>
    </row>
    <row r="216" spans="1:6" ht="14.25">
      <c r="A216" s="318"/>
      <c r="B216" s="318"/>
      <c r="C216" s="318"/>
      <c r="D216" s="318"/>
      <c r="E216" s="318"/>
      <c r="F216" s="318"/>
    </row>
    <row r="217" spans="1:6" ht="14.25">
      <c r="A217" s="318"/>
      <c r="B217" s="318"/>
      <c r="C217" s="318"/>
      <c r="D217" s="318"/>
      <c r="E217" s="318"/>
      <c r="F217" s="318"/>
    </row>
    <row r="218" spans="1:6" ht="14.25">
      <c r="A218" s="318"/>
      <c r="B218" s="318"/>
      <c r="C218" s="318"/>
      <c r="D218" s="318"/>
      <c r="E218" s="318"/>
      <c r="F218" s="318"/>
    </row>
    <row r="219" spans="1:6" ht="14.25">
      <c r="A219" s="318"/>
      <c r="B219" s="318"/>
      <c r="C219" s="318"/>
      <c r="D219" s="318"/>
      <c r="E219" s="318"/>
      <c r="F219" s="318"/>
    </row>
    <row r="220" spans="1:6" ht="14.25">
      <c r="A220" s="318"/>
      <c r="B220" s="318"/>
      <c r="C220" s="318"/>
      <c r="D220" s="318"/>
      <c r="E220" s="318"/>
      <c r="F220" s="318"/>
    </row>
    <row r="221" spans="1:6" ht="14.25">
      <c r="A221" s="318"/>
      <c r="B221" s="318"/>
      <c r="C221" s="318"/>
      <c r="D221" s="318"/>
      <c r="E221" s="318"/>
      <c r="F221" s="318"/>
    </row>
    <row r="222" spans="1:6" ht="14.25">
      <c r="A222" s="318"/>
      <c r="B222" s="318"/>
      <c r="C222" s="318"/>
      <c r="D222" s="318"/>
      <c r="E222" s="318"/>
      <c r="F222" s="318"/>
    </row>
    <row r="223" spans="1:6" ht="14.25">
      <c r="A223" s="318"/>
      <c r="B223" s="318"/>
      <c r="C223" s="318"/>
      <c r="D223" s="318"/>
      <c r="E223" s="318"/>
      <c r="F223" s="318"/>
    </row>
    <row r="224" spans="1:6" ht="14.25">
      <c r="A224" s="318"/>
      <c r="B224" s="318"/>
      <c r="C224" s="318"/>
      <c r="D224" s="318"/>
      <c r="E224" s="318"/>
      <c r="F224" s="318"/>
    </row>
    <row r="225" spans="1:6" ht="14.25">
      <c r="A225" s="318"/>
      <c r="B225" s="318"/>
      <c r="C225" s="318"/>
      <c r="D225" s="318"/>
      <c r="E225" s="318"/>
      <c r="F225" s="318"/>
    </row>
    <row r="226" spans="1:6" ht="14.25">
      <c r="A226" s="318"/>
      <c r="B226" s="318"/>
      <c r="C226" s="318"/>
      <c r="D226" s="318"/>
      <c r="E226" s="318"/>
      <c r="F226" s="318"/>
    </row>
    <row r="227" spans="1:6" ht="14.25">
      <c r="A227" s="318"/>
      <c r="B227" s="318"/>
      <c r="C227" s="318"/>
      <c r="D227" s="318"/>
      <c r="E227" s="318"/>
      <c r="F227" s="318"/>
    </row>
    <row r="228" spans="1:6" ht="14.25">
      <c r="A228" s="318"/>
      <c r="B228" s="318"/>
      <c r="C228" s="318"/>
      <c r="D228" s="318"/>
      <c r="E228" s="318"/>
      <c r="F228" s="318"/>
    </row>
    <row r="229" spans="1:6" ht="14.25">
      <c r="A229" s="318"/>
      <c r="B229" s="318"/>
      <c r="C229" s="318"/>
      <c r="D229" s="318"/>
      <c r="E229" s="318"/>
      <c r="F229" s="318"/>
    </row>
    <row r="230" spans="1:6" ht="14.25">
      <c r="A230" s="318"/>
      <c r="B230" s="318"/>
      <c r="C230" s="318"/>
      <c r="D230" s="318"/>
      <c r="E230" s="318"/>
      <c r="F230" s="318"/>
    </row>
    <row r="231" spans="1:6" ht="14.25">
      <c r="A231" s="318"/>
      <c r="B231" s="318"/>
      <c r="C231" s="318"/>
      <c r="D231" s="318"/>
      <c r="E231" s="318"/>
      <c r="F231" s="318"/>
    </row>
    <row r="232" spans="1:6" ht="14.25">
      <c r="A232" s="318"/>
      <c r="B232" s="318"/>
      <c r="C232" s="318"/>
      <c r="D232" s="318"/>
      <c r="E232" s="318"/>
      <c r="F232" s="318"/>
    </row>
    <row r="233" spans="1:6" ht="14.25">
      <c r="A233" s="318"/>
      <c r="B233" s="318"/>
      <c r="C233" s="318"/>
      <c r="D233" s="318"/>
      <c r="E233" s="318"/>
      <c r="F233" s="318"/>
    </row>
    <row r="234" spans="1:6" ht="14.25">
      <c r="A234" s="318"/>
      <c r="B234" s="318"/>
      <c r="C234" s="318"/>
      <c r="D234" s="318"/>
      <c r="E234" s="318"/>
      <c r="F234" s="318"/>
    </row>
    <row r="235" spans="1:6" ht="14.25">
      <c r="A235" s="318"/>
      <c r="B235" s="318"/>
      <c r="C235" s="318"/>
      <c r="D235" s="318"/>
      <c r="E235" s="318"/>
      <c r="F235" s="318"/>
    </row>
    <row r="236" spans="1:6" ht="14.25">
      <c r="A236" s="318"/>
      <c r="B236" s="318"/>
      <c r="C236" s="318"/>
      <c r="D236" s="318"/>
      <c r="E236" s="318"/>
      <c r="F236" s="318"/>
    </row>
    <row r="237" spans="1:6" ht="14.25">
      <c r="A237" s="318"/>
      <c r="B237" s="318"/>
      <c r="C237" s="318"/>
      <c r="D237" s="318"/>
      <c r="E237" s="318"/>
      <c r="F237" s="318"/>
    </row>
    <row r="238" spans="1:6" ht="14.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 DHHS DMH/DD/SAS QM Section - MSchwartz&amp;R&amp;F</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111"/>
  <sheetViews>
    <sheetView showGridLines="0" zoomScale="80" zoomScaleNormal="80" workbookViewId="0">
      <pane xSplit="1" ySplit="5" topLeftCell="B6" activePane="bottomRight" state="frozen"/>
      <selection activeCell="B12" sqref="B12"/>
      <selection pane="topRight" activeCell="B12" sqref="B12"/>
      <selection pane="bottomLeft" activeCell="B12" sqref="B12"/>
      <selection pane="bottomRight" activeCell="A6" sqref="A6:S105"/>
    </sheetView>
  </sheetViews>
  <sheetFormatPr defaultRowHeight="14.25"/>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8">
      <c r="A2" s="160" t="s">
        <v>449</v>
      </c>
      <c r="B2" s="161"/>
      <c r="C2" s="161"/>
      <c r="D2" s="161"/>
      <c r="E2" s="161"/>
      <c r="F2" s="161"/>
      <c r="G2" s="161"/>
      <c r="H2" s="161"/>
      <c r="I2" s="161"/>
      <c r="J2" s="161"/>
      <c r="K2" s="161"/>
      <c r="L2" s="161"/>
      <c r="M2" s="161"/>
      <c r="N2" s="161"/>
      <c r="O2" s="161"/>
      <c r="P2" s="160"/>
      <c r="Q2" s="160"/>
      <c r="R2" s="160"/>
      <c r="S2" s="161"/>
    </row>
    <row r="3" spans="1:21" s="316" customFormat="1" ht="24.95" customHeight="1" thickBot="1">
      <c r="A3" s="196">
        <v>1</v>
      </c>
      <c r="B3" s="196">
        <v>2</v>
      </c>
      <c r="C3" s="196">
        <v>3</v>
      </c>
      <c r="D3" s="196">
        <v>4</v>
      </c>
      <c r="E3" s="196">
        <v>5</v>
      </c>
      <c r="F3" s="385">
        <v>6</v>
      </c>
      <c r="G3" s="196">
        <v>7</v>
      </c>
      <c r="H3" s="385">
        <v>8</v>
      </c>
      <c r="I3" s="196">
        <v>9</v>
      </c>
      <c r="J3" s="196">
        <v>10</v>
      </c>
      <c r="K3" s="196">
        <v>11</v>
      </c>
      <c r="L3" s="196">
        <v>12</v>
      </c>
      <c r="M3" s="196">
        <v>13</v>
      </c>
      <c r="N3" s="196">
        <v>14</v>
      </c>
      <c r="O3" s="196">
        <v>15</v>
      </c>
      <c r="P3" s="196">
        <v>16</v>
      </c>
      <c r="Q3" s="196">
        <v>17</v>
      </c>
      <c r="R3" s="383">
        <v>18</v>
      </c>
      <c r="S3" s="196">
        <v>19</v>
      </c>
    </row>
    <row r="4" spans="1:21" ht="20.100000000000001" customHeight="1" thickTop="1">
      <c r="B4" s="161"/>
      <c r="C4" s="161"/>
      <c r="D4" s="164" t="s">
        <v>450</v>
      </c>
      <c r="E4" s="165"/>
      <c r="F4" s="166"/>
      <c r="G4" s="166"/>
      <c r="H4" s="166"/>
      <c r="I4" s="166"/>
      <c r="J4" s="167"/>
      <c r="K4" s="317" t="s">
        <v>451</v>
      </c>
      <c r="L4" s="166"/>
      <c r="M4" s="167"/>
      <c r="N4" s="168" t="s">
        <v>452</v>
      </c>
      <c r="O4" s="169"/>
      <c r="P4" s="169"/>
      <c r="Q4" s="169"/>
      <c r="R4" s="169"/>
      <c r="S4" s="170"/>
    </row>
    <row r="5" spans="1:21" ht="71.25" customHeight="1" thickBot="1">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5" customHeight="1" thickTop="1">
      <c r="A6" s="181" t="s">
        <v>45</v>
      </c>
      <c r="B6" s="182" t="s">
        <v>14</v>
      </c>
      <c r="C6" s="183" t="s">
        <v>221</v>
      </c>
      <c r="D6" s="184">
        <v>163041</v>
      </c>
      <c r="E6" s="184">
        <v>5569</v>
      </c>
      <c r="F6" s="184">
        <v>30099</v>
      </c>
      <c r="G6" s="184">
        <v>8336</v>
      </c>
      <c r="H6" s="184">
        <v>91330</v>
      </c>
      <c r="I6" s="184">
        <v>27707</v>
      </c>
      <c r="J6" s="184">
        <f t="shared" ref="J6:J69" si="0">SUM(F6:H6)</f>
        <v>129765</v>
      </c>
      <c r="K6" s="327">
        <v>4.9000000000000002E-2</v>
      </c>
      <c r="L6" s="327">
        <v>0.17399999999999999</v>
      </c>
      <c r="M6" s="328">
        <v>0.13900000000000001</v>
      </c>
      <c r="N6" s="185">
        <f>E6*K6</f>
        <v>272.88100000000003</v>
      </c>
      <c r="O6" s="186">
        <f>F6*K6</f>
        <v>1474.8510000000001</v>
      </c>
      <c r="P6" s="186">
        <f>G6*L6</f>
        <v>1450.4639999999999</v>
      </c>
      <c r="Q6" s="186">
        <f>H6*L6</f>
        <v>15891.419999999998</v>
      </c>
      <c r="R6" s="186">
        <f>SUM(P6:Q6)</f>
        <v>17341.883999999998</v>
      </c>
      <c r="S6" s="186">
        <f>J6*M6</f>
        <v>18037.335000000003</v>
      </c>
      <c r="U6" s="350"/>
    </row>
    <row r="7" spans="1:21" ht="24.95" customHeight="1">
      <c r="A7" s="187" t="s">
        <v>118</v>
      </c>
      <c r="B7" s="188" t="s">
        <v>428</v>
      </c>
      <c r="C7" s="189" t="s">
        <v>221</v>
      </c>
      <c r="D7" s="190">
        <v>38609</v>
      </c>
      <c r="E7" s="190">
        <v>1093</v>
      </c>
      <c r="F7" s="190">
        <v>6603</v>
      </c>
      <c r="G7" s="190">
        <v>1326</v>
      </c>
      <c r="H7" s="190">
        <v>21938</v>
      </c>
      <c r="I7" s="190">
        <v>7649</v>
      </c>
      <c r="J7" s="190">
        <f t="shared" si="0"/>
        <v>29867</v>
      </c>
      <c r="K7" s="329">
        <v>4.4999999999999998E-2</v>
      </c>
      <c r="L7" s="329">
        <v>0.16</v>
      </c>
      <c r="M7" s="330">
        <v>0.129</v>
      </c>
      <c r="N7" s="191">
        <f t="shared" ref="N7:N70" si="1">E7*K7</f>
        <v>49.184999999999995</v>
      </c>
      <c r="O7" s="192">
        <f t="shared" ref="O7:P70" si="2">F7*K7</f>
        <v>297.13499999999999</v>
      </c>
      <c r="P7" s="192">
        <f t="shared" si="2"/>
        <v>212.16</v>
      </c>
      <c r="Q7" s="192">
        <f t="shared" ref="Q7:Q70" si="3">H7*L7</f>
        <v>3510.08</v>
      </c>
      <c r="R7" s="192">
        <f t="shared" ref="R7:R70" si="4">SUM(P7:Q7)</f>
        <v>3722.24</v>
      </c>
      <c r="S7" s="192">
        <f t="shared" ref="S7:S70" si="5">J7*M7</f>
        <v>3852.8430000000003</v>
      </c>
      <c r="U7" s="350"/>
    </row>
    <row r="8" spans="1:21" ht="24.95" customHeight="1">
      <c r="A8" s="187" t="s">
        <v>119</v>
      </c>
      <c r="B8" s="188" t="s">
        <v>428</v>
      </c>
      <c r="C8" s="189" t="s">
        <v>222</v>
      </c>
      <c r="D8" s="190">
        <v>11264</v>
      </c>
      <c r="E8" s="190">
        <v>301</v>
      </c>
      <c r="F8" s="190">
        <v>1677</v>
      </c>
      <c r="G8" s="190">
        <v>380</v>
      </c>
      <c r="H8" s="190">
        <v>6037</v>
      </c>
      <c r="I8" s="190">
        <v>2869</v>
      </c>
      <c r="J8" s="190">
        <f t="shared" si="0"/>
        <v>8094</v>
      </c>
      <c r="K8" s="329">
        <v>7.6999999999999999E-2</v>
      </c>
      <c r="L8" s="329">
        <v>0.19699999999999998</v>
      </c>
      <c r="M8" s="330">
        <v>0.16800000000000001</v>
      </c>
      <c r="N8" s="191">
        <f t="shared" si="1"/>
        <v>23.177</v>
      </c>
      <c r="O8" s="192">
        <f t="shared" si="2"/>
        <v>129.12899999999999</v>
      </c>
      <c r="P8" s="192">
        <f t="shared" si="2"/>
        <v>74.86</v>
      </c>
      <c r="Q8" s="192">
        <f t="shared" si="3"/>
        <v>1189.289</v>
      </c>
      <c r="R8" s="192">
        <f t="shared" si="4"/>
        <v>1264.1489999999999</v>
      </c>
      <c r="S8" s="192">
        <f t="shared" si="5"/>
        <v>1359.7920000000001</v>
      </c>
      <c r="U8" s="350"/>
    </row>
    <row r="9" spans="1:21" ht="24.95" customHeight="1">
      <c r="A9" s="187" t="s">
        <v>109</v>
      </c>
      <c r="B9" s="188" t="s">
        <v>17</v>
      </c>
      <c r="C9" s="189" t="s">
        <v>222</v>
      </c>
      <c r="D9" s="190">
        <v>25628</v>
      </c>
      <c r="E9" s="190">
        <v>754</v>
      </c>
      <c r="F9" s="190">
        <v>4386</v>
      </c>
      <c r="G9" s="190">
        <v>959</v>
      </c>
      <c r="H9" s="190">
        <v>15071</v>
      </c>
      <c r="I9" s="190">
        <v>4458</v>
      </c>
      <c r="J9" s="190">
        <f t="shared" si="0"/>
        <v>20416</v>
      </c>
      <c r="K9" s="329">
        <v>4.2999999999999997E-2</v>
      </c>
      <c r="L9" s="329">
        <v>0.16399999999999998</v>
      </c>
      <c r="M9" s="330">
        <v>0.13200000000000001</v>
      </c>
      <c r="N9" s="191">
        <f t="shared" si="1"/>
        <v>32.421999999999997</v>
      </c>
      <c r="O9" s="192">
        <f t="shared" si="2"/>
        <v>188.59799999999998</v>
      </c>
      <c r="P9" s="192">
        <f t="shared" si="2"/>
        <v>157.27599999999998</v>
      </c>
      <c r="Q9" s="192">
        <f t="shared" si="3"/>
        <v>2471.6439999999998</v>
      </c>
      <c r="R9" s="192">
        <f t="shared" si="4"/>
        <v>2628.9199999999996</v>
      </c>
      <c r="S9" s="192">
        <f t="shared" si="5"/>
        <v>2694.9120000000003</v>
      </c>
      <c r="U9" s="350"/>
    </row>
    <row r="10" spans="1:21" ht="24.95" customHeight="1">
      <c r="A10" s="187" t="s">
        <v>120</v>
      </c>
      <c r="B10" s="188" t="s">
        <v>428</v>
      </c>
      <c r="C10" s="189" t="s">
        <v>222</v>
      </c>
      <c r="D10" s="190">
        <v>27262</v>
      </c>
      <c r="E10" s="190">
        <v>678</v>
      </c>
      <c r="F10" s="190">
        <v>4203</v>
      </c>
      <c r="G10" s="190">
        <v>882</v>
      </c>
      <c r="H10" s="190">
        <v>14667</v>
      </c>
      <c r="I10" s="190">
        <v>6832</v>
      </c>
      <c r="J10" s="190">
        <f t="shared" si="0"/>
        <v>19752</v>
      </c>
      <c r="K10" s="329">
        <v>6.7000000000000004E-2</v>
      </c>
      <c r="L10" s="329">
        <v>0.191</v>
      </c>
      <c r="M10" s="330">
        <v>0.161</v>
      </c>
      <c r="N10" s="191">
        <f t="shared" si="1"/>
        <v>45.426000000000002</v>
      </c>
      <c r="O10" s="192">
        <f t="shared" si="2"/>
        <v>281.601</v>
      </c>
      <c r="P10" s="192">
        <f t="shared" si="2"/>
        <v>168.46199999999999</v>
      </c>
      <c r="Q10" s="192">
        <f t="shared" si="3"/>
        <v>2801.3969999999999</v>
      </c>
      <c r="R10" s="192">
        <f t="shared" si="4"/>
        <v>2969.8589999999999</v>
      </c>
      <c r="S10" s="192">
        <f t="shared" si="5"/>
        <v>3180.0720000000001</v>
      </c>
      <c r="U10" s="350"/>
    </row>
    <row r="11" spans="1:21" ht="24.95" customHeight="1">
      <c r="A11" s="187" t="s">
        <v>121</v>
      </c>
      <c r="B11" s="188" t="s">
        <v>428</v>
      </c>
      <c r="C11" s="189" t="s">
        <v>222</v>
      </c>
      <c r="D11" s="190">
        <v>18087</v>
      </c>
      <c r="E11" s="190">
        <v>447</v>
      </c>
      <c r="F11" s="190">
        <v>2313</v>
      </c>
      <c r="G11" s="190">
        <v>620</v>
      </c>
      <c r="H11" s="190">
        <v>10806</v>
      </c>
      <c r="I11" s="190">
        <v>3901</v>
      </c>
      <c r="J11" s="190">
        <f t="shared" si="0"/>
        <v>13739</v>
      </c>
      <c r="K11" s="329">
        <v>7.4999999999999997E-2</v>
      </c>
      <c r="L11" s="329">
        <v>0.217</v>
      </c>
      <c r="M11" s="330">
        <v>0.185</v>
      </c>
      <c r="N11" s="191">
        <f t="shared" si="1"/>
        <v>33.524999999999999</v>
      </c>
      <c r="O11" s="192">
        <f t="shared" si="2"/>
        <v>173.47499999999999</v>
      </c>
      <c r="P11" s="192">
        <f t="shared" si="2"/>
        <v>134.54</v>
      </c>
      <c r="Q11" s="192">
        <f t="shared" si="3"/>
        <v>2344.902</v>
      </c>
      <c r="R11" s="192">
        <f t="shared" si="4"/>
        <v>2479.442</v>
      </c>
      <c r="S11" s="192">
        <f t="shared" si="5"/>
        <v>2541.7150000000001</v>
      </c>
      <c r="U11" s="350"/>
    </row>
    <row r="12" spans="1:21" ht="24.95" customHeight="1">
      <c r="A12" s="187" t="s">
        <v>69</v>
      </c>
      <c r="B12" s="188" t="s">
        <v>381</v>
      </c>
      <c r="C12" s="189" t="s">
        <v>222</v>
      </c>
      <c r="D12" s="190">
        <v>47444</v>
      </c>
      <c r="E12" s="190">
        <v>1388</v>
      </c>
      <c r="F12" s="190">
        <v>8195</v>
      </c>
      <c r="G12" s="190">
        <v>1609</v>
      </c>
      <c r="H12" s="190">
        <v>24713</v>
      </c>
      <c r="I12" s="190">
        <v>11539</v>
      </c>
      <c r="J12" s="190">
        <f t="shared" si="0"/>
        <v>34517</v>
      </c>
      <c r="K12" s="329">
        <v>5.2000000000000005E-2</v>
      </c>
      <c r="L12" s="329">
        <v>0.159</v>
      </c>
      <c r="M12" s="330">
        <v>0.13</v>
      </c>
      <c r="N12" s="191">
        <f t="shared" si="1"/>
        <v>72.176000000000002</v>
      </c>
      <c r="O12" s="192">
        <f t="shared" si="2"/>
        <v>426.14000000000004</v>
      </c>
      <c r="P12" s="192">
        <f t="shared" si="2"/>
        <v>255.83100000000002</v>
      </c>
      <c r="Q12" s="192">
        <f t="shared" si="3"/>
        <v>3929.3670000000002</v>
      </c>
      <c r="R12" s="192">
        <f t="shared" si="4"/>
        <v>4185.1980000000003</v>
      </c>
      <c r="S12" s="192">
        <f t="shared" si="5"/>
        <v>4487.21</v>
      </c>
      <c r="U12" s="350"/>
    </row>
    <row r="13" spans="1:21" ht="24.95" customHeight="1">
      <c r="A13" s="193" t="s">
        <v>70</v>
      </c>
      <c r="B13" s="194" t="s">
        <v>381</v>
      </c>
      <c r="C13" s="195" t="s">
        <v>222</v>
      </c>
      <c r="D13" s="190">
        <v>19832</v>
      </c>
      <c r="E13" s="190">
        <v>591</v>
      </c>
      <c r="F13" s="190">
        <v>3196</v>
      </c>
      <c r="G13" s="190">
        <v>717</v>
      </c>
      <c r="H13" s="190">
        <v>11358</v>
      </c>
      <c r="I13" s="190">
        <v>3970</v>
      </c>
      <c r="J13" s="190">
        <f t="shared" si="0"/>
        <v>15271</v>
      </c>
      <c r="K13" s="329">
        <v>4.0999999999999995E-2</v>
      </c>
      <c r="L13" s="329">
        <v>0.155</v>
      </c>
      <c r="M13" s="330">
        <v>0.128</v>
      </c>
      <c r="N13" s="191">
        <f t="shared" si="1"/>
        <v>24.230999999999998</v>
      </c>
      <c r="O13" s="192">
        <f t="shared" si="2"/>
        <v>131.03599999999997</v>
      </c>
      <c r="P13" s="192">
        <f t="shared" si="2"/>
        <v>111.13500000000001</v>
      </c>
      <c r="Q13" s="192">
        <f t="shared" si="3"/>
        <v>1760.49</v>
      </c>
      <c r="R13" s="192">
        <f t="shared" si="4"/>
        <v>1871.625</v>
      </c>
      <c r="S13" s="192">
        <f t="shared" si="5"/>
        <v>1954.6880000000001</v>
      </c>
      <c r="U13" s="350"/>
    </row>
    <row r="14" spans="1:21" ht="24.95" customHeight="1">
      <c r="A14" s="193" t="s">
        <v>88</v>
      </c>
      <c r="B14" s="194" t="s">
        <v>15</v>
      </c>
      <c r="C14" s="195" t="s">
        <v>222</v>
      </c>
      <c r="D14" s="190">
        <v>34120</v>
      </c>
      <c r="E14" s="190">
        <v>1071</v>
      </c>
      <c r="F14" s="190">
        <v>6040</v>
      </c>
      <c r="G14" s="190">
        <v>1266</v>
      </c>
      <c r="H14" s="190">
        <v>18866</v>
      </c>
      <c r="I14" s="190">
        <v>6877</v>
      </c>
      <c r="J14" s="190">
        <f t="shared" si="0"/>
        <v>26172</v>
      </c>
      <c r="K14" s="329">
        <v>6.7000000000000004E-2</v>
      </c>
      <c r="L14" s="329">
        <v>0.20199999999999999</v>
      </c>
      <c r="M14" s="330">
        <v>0.16600000000000001</v>
      </c>
      <c r="N14" s="191">
        <f t="shared" si="1"/>
        <v>71.757000000000005</v>
      </c>
      <c r="O14" s="192">
        <f t="shared" si="2"/>
        <v>404.68</v>
      </c>
      <c r="P14" s="192">
        <f t="shared" si="2"/>
        <v>255.73199999999997</v>
      </c>
      <c r="Q14" s="192">
        <f t="shared" si="3"/>
        <v>3810.9319999999998</v>
      </c>
      <c r="R14" s="192">
        <f t="shared" si="4"/>
        <v>4066.6639999999998</v>
      </c>
      <c r="S14" s="192">
        <f t="shared" si="5"/>
        <v>4344.5520000000006</v>
      </c>
      <c r="U14" s="350"/>
    </row>
    <row r="15" spans="1:21" ht="24.95" customHeight="1">
      <c r="A15" s="193" t="s">
        <v>64</v>
      </c>
      <c r="B15" s="194" t="s">
        <v>381</v>
      </c>
      <c r="C15" s="195" t="s">
        <v>221</v>
      </c>
      <c r="D15" s="190">
        <v>135464</v>
      </c>
      <c r="E15" s="190">
        <v>3222</v>
      </c>
      <c r="F15" s="190">
        <v>19260</v>
      </c>
      <c r="G15" s="190">
        <v>3520</v>
      </c>
      <c r="H15" s="190">
        <v>69246</v>
      </c>
      <c r="I15" s="190">
        <v>40216</v>
      </c>
      <c r="J15" s="190">
        <f t="shared" si="0"/>
        <v>92026</v>
      </c>
      <c r="K15" s="329">
        <v>4.8000000000000001E-2</v>
      </c>
      <c r="L15" s="329">
        <v>0.17600000000000002</v>
      </c>
      <c r="M15" s="330">
        <v>0.14599999999999999</v>
      </c>
      <c r="N15" s="191">
        <f t="shared" si="1"/>
        <v>154.65600000000001</v>
      </c>
      <c r="O15" s="192">
        <f t="shared" si="2"/>
        <v>924.48</v>
      </c>
      <c r="P15" s="192">
        <f t="shared" si="2"/>
        <v>619.5200000000001</v>
      </c>
      <c r="Q15" s="192">
        <f t="shared" si="3"/>
        <v>12187.296000000002</v>
      </c>
      <c r="R15" s="192">
        <f t="shared" si="4"/>
        <v>12806.816000000003</v>
      </c>
      <c r="S15" s="192">
        <f t="shared" si="5"/>
        <v>13435.795999999998</v>
      </c>
      <c r="U15" s="350"/>
    </row>
    <row r="16" spans="1:21" ht="24.95" customHeight="1">
      <c r="A16" s="193" t="s">
        <v>122</v>
      </c>
      <c r="B16" s="194" t="s">
        <v>428</v>
      </c>
      <c r="C16" s="195" t="s">
        <v>221</v>
      </c>
      <c r="D16" s="190">
        <v>264666</v>
      </c>
      <c r="E16" s="190">
        <v>7959</v>
      </c>
      <c r="F16" s="190">
        <v>42267</v>
      </c>
      <c r="G16" s="190">
        <v>9003</v>
      </c>
      <c r="H16" s="190">
        <v>153121</v>
      </c>
      <c r="I16" s="190">
        <v>52316</v>
      </c>
      <c r="J16" s="190">
        <f t="shared" si="0"/>
        <v>204391</v>
      </c>
      <c r="K16" s="329">
        <v>4.4999999999999998E-2</v>
      </c>
      <c r="L16" s="329">
        <v>0.13500000000000001</v>
      </c>
      <c r="M16" s="330">
        <v>0.113</v>
      </c>
      <c r="N16" s="191">
        <f t="shared" si="1"/>
        <v>358.15499999999997</v>
      </c>
      <c r="O16" s="192">
        <f t="shared" si="2"/>
        <v>1902.0149999999999</v>
      </c>
      <c r="P16" s="192">
        <f t="shared" si="2"/>
        <v>1215.405</v>
      </c>
      <c r="Q16" s="192">
        <f t="shared" si="3"/>
        <v>20671.335000000003</v>
      </c>
      <c r="R16" s="192">
        <f t="shared" si="4"/>
        <v>21886.74</v>
      </c>
      <c r="S16" s="192">
        <f t="shared" si="5"/>
        <v>23096.183000000001</v>
      </c>
      <c r="U16" s="350"/>
    </row>
    <row r="17" spans="1:21" ht="24.95" customHeight="1">
      <c r="A17" s="193" t="s">
        <v>101</v>
      </c>
      <c r="B17" s="194" t="s">
        <v>16</v>
      </c>
      <c r="C17" s="195" t="s">
        <v>221</v>
      </c>
      <c r="D17" s="190">
        <v>90865</v>
      </c>
      <c r="E17" s="190">
        <v>2708</v>
      </c>
      <c r="F17" s="190">
        <v>15412</v>
      </c>
      <c r="G17" s="190">
        <v>4364</v>
      </c>
      <c r="H17" s="190">
        <v>50373</v>
      </c>
      <c r="I17" s="190">
        <v>18008</v>
      </c>
      <c r="J17" s="190">
        <f t="shared" si="0"/>
        <v>70149</v>
      </c>
      <c r="K17" s="329">
        <v>4.4999999999999998E-2</v>
      </c>
      <c r="L17" s="329">
        <v>0.17300000000000001</v>
      </c>
      <c r="M17" s="330">
        <v>0.14199999999999999</v>
      </c>
      <c r="N17" s="191">
        <f t="shared" si="1"/>
        <v>121.86</v>
      </c>
      <c r="O17" s="192">
        <f t="shared" si="2"/>
        <v>693.54</v>
      </c>
      <c r="P17" s="192">
        <f t="shared" si="2"/>
        <v>754.97200000000009</v>
      </c>
      <c r="Q17" s="192">
        <f t="shared" si="3"/>
        <v>8714.5290000000005</v>
      </c>
      <c r="R17" s="192">
        <f t="shared" si="4"/>
        <v>9469.5010000000002</v>
      </c>
      <c r="S17" s="192">
        <f t="shared" si="5"/>
        <v>9961.1579999999994</v>
      </c>
      <c r="U17" s="350"/>
    </row>
    <row r="18" spans="1:21" ht="24.95" customHeight="1">
      <c r="A18" s="193" t="s">
        <v>46</v>
      </c>
      <c r="B18" s="194" t="s">
        <v>14</v>
      </c>
      <c r="C18" s="195" t="s">
        <v>221</v>
      </c>
      <c r="D18" s="190">
        <v>209736</v>
      </c>
      <c r="E18" s="190">
        <v>7771</v>
      </c>
      <c r="F18" s="190">
        <v>43901</v>
      </c>
      <c r="G18" s="190">
        <v>8567</v>
      </c>
      <c r="H18" s="190">
        <v>121608</v>
      </c>
      <c r="I18" s="190">
        <v>27889</v>
      </c>
      <c r="J18" s="190">
        <f t="shared" si="0"/>
        <v>174076</v>
      </c>
      <c r="K18" s="329">
        <v>4.0999999999999995E-2</v>
      </c>
      <c r="L18" s="329">
        <v>0.12300000000000001</v>
      </c>
      <c r="M18" s="330">
        <v>9.8000000000000004E-2</v>
      </c>
      <c r="N18" s="191">
        <f t="shared" si="1"/>
        <v>318.61099999999993</v>
      </c>
      <c r="O18" s="192">
        <f t="shared" si="2"/>
        <v>1799.9409999999998</v>
      </c>
      <c r="P18" s="192">
        <f t="shared" si="2"/>
        <v>1053.7410000000002</v>
      </c>
      <c r="Q18" s="192">
        <f t="shared" si="3"/>
        <v>14957.784000000001</v>
      </c>
      <c r="R18" s="192">
        <f t="shared" si="4"/>
        <v>16011.525000000001</v>
      </c>
      <c r="S18" s="192">
        <f t="shared" si="5"/>
        <v>17059.448</v>
      </c>
      <c r="U18" s="350"/>
    </row>
    <row r="19" spans="1:21" ht="24.95" customHeight="1">
      <c r="A19" s="193" t="s">
        <v>123</v>
      </c>
      <c r="B19" s="194" t="s">
        <v>428</v>
      </c>
      <c r="C19" s="195" t="s">
        <v>221</v>
      </c>
      <c r="D19" s="190">
        <v>83919</v>
      </c>
      <c r="E19" s="190">
        <v>2482</v>
      </c>
      <c r="F19" s="190">
        <v>14154</v>
      </c>
      <c r="G19" s="190">
        <v>3479</v>
      </c>
      <c r="H19" s="190">
        <v>47723</v>
      </c>
      <c r="I19" s="190">
        <v>16081</v>
      </c>
      <c r="J19" s="190">
        <f t="shared" si="0"/>
        <v>65356</v>
      </c>
      <c r="K19" s="329">
        <v>4.0999999999999995E-2</v>
      </c>
      <c r="L19" s="329">
        <v>0.17300000000000001</v>
      </c>
      <c r="M19" s="330">
        <v>0.13900000000000001</v>
      </c>
      <c r="N19" s="191">
        <f t="shared" si="1"/>
        <v>101.76199999999999</v>
      </c>
      <c r="O19" s="192">
        <f t="shared" si="2"/>
        <v>580.31399999999996</v>
      </c>
      <c r="P19" s="192">
        <f t="shared" si="2"/>
        <v>601.86700000000008</v>
      </c>
      <c r="Q19" s="192">
        <f t="shared" si="3"/>
        <v>8256.0790000000015</v>
      </c>
      <c r="R19" s="192">
        <f t="shared" si="4"/>
        <v>8857.9460000000017</v>
      </c>
      <c r="S19" s="192">
        <f t="shared" si="5"/>
        <v>9084.4840000000004</v>
      </c>
      <c r="U19" s="350"/>
    </row>
    <row r="20" spans="1:21" ht="24.95" customHeight="1">
      <c r="A20" s="193" t="s">
        <v>71</v>
      </c>
      <c r="B20" s="194" t="s">
        <v>381</v>
      </c>
      <c r="C20" s="195" t="s">
        <v>222</v>
      </c>
      <c r="D20" s="190">
        <v>10416</v>
      </c>
      <c r="E20" s="190">
        <v>300</v>
      </c>
      <c r="F20" s="190">
        <v>1818</v>
      </c>
      <c r="G20" s="190">
        <v>371</v>
      </c>
      <c r="H20" s="190">
        <v>6223</v>
      </c>
      <c r="I20" s="190">
        <v>1704</v>
      </c>
      <c r="J20" s="190">
        <f t="shared" si="0"/>
        <v>8412</v>
      </c>
      <c r="K20" s="329">
        <v>5.2999999999999999E-2</v>
      </c>
      <c r="L20" s="329">
        <v>0.122</v>
      </c>
      <c r="M20" s="330">
        <v>0.10300000000000001</v>
      </c>
      <c r="N20" s="191">
        <f t="shared" si="1"/>
        <v>15.9</v>
      </c>
      <c r="O20" s="192">
        <f t="shared" si="2"/>
        <v>96.353999999999999</v>
      </c>
      <c r="P20" s="192">
        <f t="shared" si="2"/>
        <v>45.262</v>
      </c>
      <c r="Q20" s="192">
        <f t="shared" si="3"/>
        <v>759.20600000000002</v>
      </c>
      <c r="R20" s="192">
        <f t="shared" si="4"/>
        <v>804.46800000000007</v>
      </c>
      <c r="S20" s="192">
        <f t="shared" si="5"/>
        <v>866.43600000000004</v>
      </c>
      <c r="U20" s="350"/>
    </row>
    <row r="21" spans="1:21" ht="24.95" customHeight="1">
      <c r="A21" s="193" t="s">
        <v>65</v>
      </c>
      <c r="B21" s="194" t="s">
        <v>381</v>
      </c>
      <c r="C21" s="195" t="s">
        <v>222</v>
      </c>
      <c r="D21" s="190">
        <v>70620</v>
      </c>
      <c r="E21" s="190">
        <v>1783</v>
      </c>
      <c r="F21" s="190">
        <v>10373</v>
      </c>
      <c r="G21" s="190">
        <v>2220</v>
      </c>
      <c r="H21" s="190">
        <v>38909</v>
      </c>
      <c r="I21" s="190">
        <v>17335</v>
      </c>
      <c r="J21" s="190">
        <f t="shared" si="0"/>
        <v>51502</v>
      </c>
      <c r="K21" s="329">
        <v>5.2999999999999999E-2</v>
      </c>
      <c r="L21" s="329">
        <v>0.14599999999999999</v>
      </c>
      <c r="M21" s="330">
        <v>0.12300000000000001</v>
      </c>
      <c r="N21" s="191">
        <f t="shared" si="1"/>
        <v>94.498999999999995</v>
      </c>
      <c r="O21" s="192">
        <f t="shared" si="2"/>
        <v>549.76900000000001</v>
      </c>
      <c r="P21" s="192">
        <f t="shared" si="2"/>
        <v>324.12</v>
      </c>
      <c r="Q21" s="192">
        <f t="shared" si="3"/>
        <v>5680.7139999999999</v>
      </c>
      <c r="R21" s="192">
        <f t="shared" si="4"/>
        <v>6004.8339999999998</v>
      </c>
      <c r="S21" s="192">
        <f t="shared" si="5"/>
        <v>6334.746000000001</v>
      </c>
      <c r="U21" s="350"/>
    </row>
    <row r="22" spans="1:21" ht="24.95" customHeight="1">
      <c r="A22" s="193" t="s">
        <v>47</v>
      </c>
      <c r="B22" s="194" t="s">
        <v>14</v>
      </c>
      <c r="C22" s="195" t="s">
        <v>222</v>
      </c>
      <c r="D22" s="190">
        <v>23692</v>
      </c>
      <c r="E22" s="190">
        <v>637</v>
      </c>
      <c r="F22" s="190">
        <v>3622</v>
      </c>
      <c r="G22" s="190">
        <v>768</v>
      </c>
      <c r="H22" s="190">
        <v>13797</v>
      </c>
      <c r="I22" s="190">
        <v>4868</v>
      </c>
      <c r="J22" s="190">
        <f t="shared" si="0"/>
        <v>18187</v>
      </c>
      <c r="K22" s="329">
        <v>5.2000000000000005E-2</v>
      </c>
      <c r="L22" s="329">
        <v>0.159</v>
      </c>
      <c r="M22" s="330">
        <v>0.13200000000000001</v>
      </c>
      <c r="N22" s="191">
        <f t="shared" si="1"/>
        <v>33.124000000000002</v>
      </c>
      <c r="O22" s="192">
        <f t="shared" si="2"/>
        <v>188.34400000000002</v>
      </c>
      <c r="P22" s="192">
        <f t="shared" si="2"/>
        <v>122.11199999999999</v>
      </c>
      <c r="Q22" s="192">
        <f t="shared" si="3"/>
        <v>2193.723</v>
      </c>
      <c r="R22" s="192">
        <f t="shared" si="4"/>
        <v>2315.835</v>
      </c>
      <c r="S22" s="192">
        <f t="shared" si="5"/>
        <v>2400.6840000000002</v>
      </c>
      <c r="U22" s="350"/>
    </row>
    <row r="23" spans="1:21" ht="24.95" customHeight="1">
      <c r="A23" s="193" t="s">
        <v>102</v>
      </c>
      <c r="B23" s="194" t="s">
        <v>16</v>
      </c>
      <c r="C23" s="195" t="s">
        <v>221</v>
      </c>
      <c r="D23" s="190">
        <v>157424</v>
      </c>
      <c r="E23" s="190">
        <v>5195</v>
      </c>
      <c r="F23" s="190">
        <v>29304</v>
      </c>
      <c r="G23" s="190">
        <v>6378</v>
      </c>
      <c r="H23" s="190">
        <v>89036</v>
      </c>
      <c r="I23" s="190">
        <v>27511</v>
      </c>
      <c r="J23" s="190">
        <f t="shared" si="0"/>
        <v>124718</v>
      </c>
      <c r="K23" s="329">
        <v>4.4000000000000004E-2</v>
      </c>
      <c r="L23" s="329">
        <v>0.16300000000000001</v>
      </c>
      <c r="M23" s="330">
        <v>0.13</v>
      </c>
      <c r="N23" s="191">
        <f t="shared" si="1"/>
        <v>228.58</v>
      </c>
      <c r="O23" s="192">
        <f t="shared" si="2"/>
        <v>1289.3760000000002</v>
      </c>
      <c r="P23" s="192">
        <f t="shared" si="2"/>
        <v>1039.614</v>
      </c>
      <c r="Q23" s="192">
        <f t="shared" si="3"/>
        <v>14512.868</v>
      </c>
      <c r="R23" s="192">
        <f t="shared" si="4"/>
        <v>15552.482</v>
      </c>
      <c r="S23" s="192">
        <f t="shared" si="5"/>
        <v>16213.34</v>
      </c>
      <c r="U23" s="350"/>
    </row>
    <row r="24" spans="1:21" ht="24.95" customHeight="1">
      <c r="A24" s="193" t="s">
        <v>48</v>
      </c>
      <c r="B24" s="194" t="s">
        <v>14</v>
      </c>
      <c r="C24" s="195" t="s">
        <v>221</v>
      </c>
      <c r="D24" s="190">
        <v>76383</v>
      </c>
      <c r="E24" s="190">
        <v>2022</v>
      </c>
      <c r="F24" s="190">
        <v>12163</v>
      </c>
      <c r="G24" s="190">
        <v>2284</v>
      </c>
      <c r="H24" s="190">
        <v>40316</v>
      </c>
      <c r="I24" s="190">
        <v>19598</v>
      </c>
      <c r="J24" s="190">
        <f t="shared" si="0"/>
        <v>54763</v>
      </c>
      <c r="K24" s="329">
        <v>6.0999999999999999E-2</v>
      </c>
      <c r="L24" s="329">
        <v>0.16300000000000001</v>
      </c>
      <c r="M24" s="330">
        <v>0.13500000000000001</v>
      </c>
      <c r="N24" s="191">
        <f t="shared" si="1"/>
        <v>123.342</v>
      </c>
      <c r="O24" s="192">
        <f t="shared" si="2"/>
        <v>741.94299999999998</v>
      </c>
      <c r="P24" s="192">
        <f t="shared" si="2"/>
        <v>372.29200000000003</v>
      </c>
      <c r="Q24" s="192">
        <f t="shared" si="3"/>
        <v>6571.5079999999998</v>
      </c>
      <c r="R24" s="192">
        <f t="shared" si="4"/>
        <v>6943.8</v>
      </c>
      <c r="S24" s="192">
        <f t="shared" si="5"/>
        <v>7393.0050000000001</v>
      </c>
      <c r="U24" s="350"/>
    </row>
    <row r="25" spans="1:21" ht="24.95" customHeight="1">
      <c r="A25" s="193" t="s">
        <v>124</v>
      </c>
      <c r="B25" s="194" t="s">
        <v>428</v>
      </c>
      <c r="C25" s="195" t="s">
        <v>222</v>
      </c>
      <c r="D25" s="190">
        <v>29853</v>
      </c>
      <c r="E25" s="190">
        <v>776</v>
      </c>
      <c r="F25" s="190">
        <v>4301</v>
      </c>
      <c r="G25" s="190">
        <v>868</v>
      </c>
      <c r="H25" s="190">
        <v>15239</v>
      </c>
      <c r="I25" s="190">
        <v>8669</v>
      </c>
      <c r="J25" s="190">
        <f t="shared" si="0"/>
        <v>20408</v>
      </c>
      <c r="K25" s="329">
        <v>0.06</v>
      </c>
      <c r="L25" s="329">
        <v>0.185</v>
      </c>
      <c r="M25" s="330">
        <v>0.154</v>
      </c>
      <c r="N25" s="191">
        <f t="shared" si="1"/>
        <v>46.559999999999995</v>
      </c>
      <c r="O25" s="192">
        <f t="shared" si="2"/>
        <v>258.06</v>
      </c>
      <c r="P25" s="192">
        <f t="shared" si="2"/>
        <v>160.57999999999998</v>
      </c>
      <c r="Q25" s="192">
        <f t="shared" si="3"/>
        <v>2819.2150000000001</v>
      </c>
      <c r="R25" s="192">
        <f t="shared" si="4"/>
        <v>2979.7950000000001</v>
      </c>
      <c r="S25" s="192">
        <f t="shared" si="5"/>
        <v>3142.8319999999999</v>
      </c>
      <c r="U25" s="350"/>
    </row>
    <row r="26" spans="1:21" ht="24.95" customHeight="1">
      <c r="A26" s="193" t="s">
        <v>72</v>
      </c>
      <c r="B26" s="194" t="s">
        <v>381</v>
      </c>
      <c r="C26" s="195" t="s">
        <v>222</v>
      </c>
      <c r="D26" s="190">
        <v>14177</v>
      </c>
      <c r="E26" s="190">
        <v>431</v>
      </c>
      <c r="F26" s="190">
        <v>2451</v>
      </c>
      <c r="G26" s="190">
        <v>462</v>
      </c>
      <c r="H26" s="190">
        <v>7426</v>
      </c>
      <c r="I26" s="190">
        <v>3407</v>
      </c>
      <c r="J26" s="190">
        <f t="shared" si="0"/>
        <v>10339</v>
      </c>
      <c r="K26" s="329">
        <v>5.0999999999999997E-2</v>
      </c>
      <c r="L26" s="329">
        <v>0.14699999999999999</v>
      </c>
      <c r="M26" s="330">
        <v>0.121</v>
      </c>
      <c r="N26" s="191">
        <f t="shared" si="1"/>
        <v>21.980999999999998</v>
      </c>
      <c r="O26" s="192">
        <f t="shared" si="2"/>
        <v>125.00099999999999</v>
      </c>
      <c r="P26" s="192">
        <f t="shared" si="2"/>
        <v>67.914000000000001</v>
      </c>
      <c r="Q26" s="192">
        <f t="shared" si="3"/>
        <v>1091.6219999999998</v>
      </c>
      <c r="R26" s="192">
        <f t="shared" si="4"/>
        <v>1159.5359999999998</v>
      </c>
      <c r="S26" s="192">
        <f t="shared" si="5"/>
        <v>1251.019</v>
      </c>
      <c r="U26" s="350"/>
    </row>
    <row r="27" spans="1:21" ht="24.95" customHeight="1">
      <c r="A27" s="193" t="s">
        <v>125</v>
      </c>
      <c r="B27" s="194" t="s">
        <v>428</v>
      </c>
      <c r="C27" s="195" t="s">
        <v>222</v>
      </c>
      <c r="D27" s="190">
        <v>11654</v>
      </c>
      <c r="E27" s="190">
        <v>299</v>
      </c>
      <c r="F27" s="190">
        <v>1711</v>
      </c>
      <c r="G27" s="190">
        <v>334</v>
      </c>
      <c r="H27" s="190">
        <v>5825</v>
      </c>
      <c r="I27" s="190">
        <v>3485</v>
      </c>
      <c r="J27" s="190">
        <f t="shared" si="0"/>
        <v>7870</v>
      </c>
      <c r="K27" s="329">
        <v>7.0000000000000007E-2</v>
      </c>
      <c r="L27" s="329">
        <v>0.17899999999999999</v>
      </c>
      <c r="M27" s="330">
        <v>0.151</v>
      </c>
      <c r="N27" s="191">
        <f t="shared" si="1"/>
        <v>20.930000000000003</v>
      </c>
      <c r="O27" s="192">
        <f t="shared" si="2"/>
        <v>119.77000000000001</v>
      </c>
      <c r="P27" s="192">
        <f t="shared" si="2"/>
        <v>59.785999999999994</v>
      </c>
      <c r="Q27" s="192">
        <f t="shared" si="3"/>
        <v>1042.675</v>
      </c>
      <c r="R27" s="192">
        <f t="shared" si="4"/>
        <v>1102.461</v>
      </c>
      <c r="S27" s="192">
        <f t="shared" si="5"/>
        <v>1188.3699999999999</v>
      </c>
      <c r="U27" s="350"/>
    </row>
    <row r="28" spans="1:21" ht="24.95" customHeight="1">
      <c r="A28" s="193" t="s">
        <v>103</v>
      </c>
      <c r="B28" s="194" t="s">
        <v>16</v>
      </c>
      <c r="C28" s="195" t="s">
        <v>222</v>
      </c>
      <c r="D28" s="190">
        <v>98862</v>
      </c>
      <c r="E28" s="190">
        <v>3250</v>
      </c>
      <c r="F28" s="190">
        <v>17800</v>
      </c>
      <c r="G28" s="190">
        <v>4322</v>
      </c>
      <c r="H28" s="190">
        <v>55325</v>
      </c>
      <c r="I28" s="190">
        <v>18165</v>
      </c>
      <c r="J28" s="190">
        <f t="shared" si="0"/>
        <v>77447</v>
      </c>
      <c r="K28" s="329">
        <v>4.2999999999999997E-2</v>
      </c>
      <c r="L28" s="329">
        <v>0.14899999999999999</v>
      </c>
      <c r="M28" s="330">
        <v>0.12</v>
      </c>
      <c r="N28" s="191">
        <f t="shared" si="1"/>
        <v>139.75</v>
      </c>
      <c r="O28" s="192">
        <f t="shared" si="2"/>
        <v>765.4</v>
      </c>
      <c r="P28" s="192">
        <f t="shared" si="2"/>
        <v>643.97799999999995</v>
      </c>
      <c r="Q28" s="192">
        <f t="shared" si="3"/>
        <v>8243.4249999999993</v>
      </c>
      <c r="R28" s="192">
        <f t="shared" si="4"/>
        <v>8887.4029999999984</v>
      </c>
      <c r="S28" s="192">
        <f t="shared" si="5"/>
        <v>9293.64</v>
      </c>
      <c r="U28" s="350"/>
    </row>
    <row r="29" spans="1:21" ht="24.95" customHeight="1">
      <c r="A29" s="193" t="s">
        <v>89</v>
      </c>
      <c r="B29" s="194" t="s">
        <v>381</v>
      </c>
      <c r="C29" s="195" t="s">
        <v>222</v>
      </c>
      <c r="D29" s="190">
        <v>56904</v>
      </c>
      <c r="E29" s="190">
        <v>1825</v>
      </c>
      <c r="F29" s="190">
        <v>10179</v>
      </c>
      <c r="G29" s="190">
        <v>2292</v>
      </c>
      <c r="H29" s="190">
        <v>31914</v>
      </c>
      <c r="I29" s="190">
        <v>10694</v>
      </c>
      <c r="J29" s="190">
        <f t="shared" si="0"/>
        <v>44385</v>
      </c>
      <c r="K29" s="329">
        <v>5.4000000000000006E-2</v>
      </c>
      <c r="L29" s="329">
        <v>0.185</v>
      </c>
      <c r="M29" s="330">
        <v>0.14899999999999999</v>
      </c>
      <c r="N29" s="191">
        <f t="shared" si="1"/>
        <v>98.550000000000011</v>
      </c>
      <c r="O29" s="192">
        <f t="shared" si="2"/>
        <v>549.66600000000005</v>
      </c>
      <c r="P29" s="192">
        <f t="shared" si="2"/>
        <v>424.02</v>
      </c>
      <c r="Q29" s="192">
        <f t="shared" si="3"/>
        <v>5904.09</v>
      </c>
      <c r="R29" s="192">
        <f t="shared" si="4"/>
        <v>6328.1100000000006</v>
      </c>
      <c r="S29" s="192">
        <f t="shared" si="5"/>
        <v>6613.3649999999998</v>
      </c>
      <c r="U29" s="350"/>
    </row>
    <row r="30" spans="1:21" ht="24.95" customHeight="1">
      <c r="A30" s="193" t="s">
        <v>73</v>
      </c>
      <c r="B30" s="194" t="s">
        <v>381</v>
      </c>
      <c r="C30" s="195" t="s">
        <v>221</v>
      </c>
      <c r="D30" s="190">
        <v>103800</v>
      </c>
      <c r="E30" s="190">
        <v>4349</v>
      </c>
      <c r="F30" s="190">
        <v>22193</v>
      </c>
      <c r="G30" s="190">
        <v>4886</v>
      </c>
      <c r="H30" s="190">
        <v>54660</v>
      </c>
      <c r="I30" s="190">
        <v>17712</v>
      </c>
      <c r="J30" s="190">
        <f t="shared" si="0"/>
        <v>81739</v>
      </c>
      <c r="K30" s="329">
        <v>4.2000000000000003E-2</v>
      </c>
      <c r="L30" s="329">
        <v>0.15</v>
      </c>
      <c r="M30" s="330">
        <v>0.11900000000000001</v>
      </c>
      <c r="N30" s="191">
        <f t="shared" si="1"/>
        <v>182.65800000000002</v>
      </c>
      <c r="O30" s="192">
        <f t="shared" si="2"/>
        <v>932.10600000000011</v>
      </c>
      <c r="P30" s="192">
        <f t="shared" si="2"/>
        <v>732.9</v>
      </c>
      <c r="Q30" s="192">
        <f t="shared" si="3"/>
        <v>8199</v>
      </c>
      <c r="R30" s="192">
        <f t="shared" si="4"/>
        <v>8931.9</v>
      </c>
      <c r="S30" s="192">
        <f t="shared" si="5"/>
        <v>9726.9410000000007</v>
      </c>
      <c r="U30" s="350"/>
    </row>
    <row r="31" spans="1:21" ht="24.95" customHeight="1">
      <c r="A31" s="193" t="s">
        <v>41</v>
      </c>
      <c r="B31" s="194" t="s">
        <v>13</v>
      </c>
      <c r="C31" s="195" t="s">
        <v>221</v>
      </c>
      <c r="D31" s="190">
        <v>329653</v>
      </c>
      <c r="E31" s="190">
        <v>15907</v>
      </c>
      <c r="F31" s="190">
        <v>72224</v>
      </c>
      <c r="G31" s="190">
        <v>15244</v>
      </c>
      <c r="H31" s="190">
        <v>184922</v>
      </c>
      <c r="I31" s="190">
        <v>41356</v>
      </c>
      <c r="J31" s="190">
        <f t="shared" si="0"/>
        <v>272390</v>
      </c>
      <c r="K31" s="329">
        <v>3.7000000000000005E-2</v>
      </c>
      <c r="L31" s="329">
        <v>0.13800000000000001</v>
      </c>
      <c r="M31" s="330">
        <v>0.10800000000000001</v>
      </c>
      <c r="N31" s="191">
        <f t="shared" si="1"/>
        <v>588.55900000000008</v>
      </c>
      <c r="O31" s="192">
        <f t="shared" si="2"/>
        <v>2672.2880000000005</v>
      </c>
      <c r="P31" s="192">
        <f t="shared" si="2"/>
        <v>2103.672</v>
      </c>
      <c r="Q31" s="192">
        <f t="shared" si="3"/>
        <v>25519.236000000001</v>
      </c>
      <c r="R31" s="192">
        <f t="shared" si="4"/>
        <v>27622.907999999999</v>
      </c>
      <c r="S31" s="192">
        <f t="shared" si="5"/>
        <v>29418.120000000003</v>
      </c>
      <c r="U31" s="350"/>
    </row>
    <row r="32" spans="1:21" ht="24.95" customHeight="1">
      <c r="A32" s="193" t="s">
        <v>74</v>
      </c>
      <c r="B32" s="194" t="s">
        <v>381</v>
      </c>
      <c r="C32" s="195" t="s">
        <v>221</v>
      </c>
      <c r="D32" s="190">
        <v>27109</v>
      </c>
      <c r="E32" s="190">
        <v>843</v>
      </c>
      <c r="F32" s="190">
        <v>4689</v>
      </c>
      <c r="G32" s="190">
        <v>962</v>
      </c>
      <c r="H32" s="190">
        <v>16234</v>
      </c>
      <c r="I32" s="190">
        <v>4381</v>
      </c>
      <c r="J32" s="190">
        <f t="shared" si="0"/>
        <v>21885</v>
      </c>
      <c r="K32" s="329">
        <v>5.2999999999999999E-2</v>
      </c>
      <c r="L32" s="329">
        <v>0.14099999999999999</v>
      </c>
      <c r="M32" s="330">
        <v>0.11699999999999999</v>
      </c>
      <c r="N32" s="191">
        <f t="shared" si="1"/>
        <v>44.679000000000002</v>
      </c>
      <c r="O32" s="192">
        <f t="shared" si="2"/>
        <v>248.517</v>
      </c>
      <c r="P32" s="192">
        <f t="shared" si="2"/>
        <v>135.642</v>
      </c>
      <c r="Q32" s="192">
        <f t="shared" si="3"/>
        <v>2288.9939999999997</v>
      </c>
      <c r="R32" s="192">
        <f t="shared" si="4"/>
        <v>2424.6359999999995</v>
      </c>
      <c r="S32" s="192">
        <f t="shared" si="5"/>
        <v>2560.5449999999996</v>
      </c>
      <c r="U32" s="350"/>
    </row>
    <row r="33" spans="1:21" ht="24.95" customHeight="1">
      <c r="A33" s="193" t="s">
        <v>75</v>
      </c>
      <c r="B33" s="194" t="s">
        <v>381</v>
      </c>
      <c r="C33" s="195" t="s">
        <v>222</v>
      </c>
      <c r="D33" s="190">
        <v>37172</v>
      </c>
      <c r="E33" s="190">
        <v>1079</v>
      </c>
      <c r="F33" s="190">
        <v>5885</v>
      </c>
      <c r="G33" s="190">
        <v>928</v>
      </c>
      <c r="H33" s="190">
        <v>21423</v>
      </c>
      <c r="I33" s="190">
        <v>7857</v>
      </c>
      <c r="J33" s="190">
        <f t="shared" si="0"/>
        <v>28236</v>
      </c>
      <c r="K33" s="329">
        <v>6.4000000000000001E-2</v>
      </c>
      <c r="L33" s="329">
        <v>0.14899999999999999</v>
      </c>
      <c r="M33" s="330">
        <v>0.129</v>
      </c>
      <c r="N33" s="191">
        <f t="shared" si="1"/>
        <v>69.055999999999997</v>
      </c>
      <c r="O33" s="192">
        <f t="shared" si="2"/>
        <v>376.64</v>
      </c>
      <c r="P33" s="192">
        <f t="shared" si="2"/>
        <v>138.27199999999999</v>
      </c>
      <c r="Q33" s="192">
        <f t="shared" si="3"/>
        <v>3192.027</v>
      </c>
      <c r="R33" s="192">
        <f t="shared" si="4"/>
        <v>3330.299</v>
      </c>
      <c r="S33" s="192">
        <f t="shared" si="5"/>
        <v>3642.444</v>
      </c>
      <c r="U33" s="350"/>
    </row>
    <row r="34" spans="1:21" ht="24.95" customHeight="1">
      <c r="A34" s="193" t="s">
        <v>49</v>
      </c>
      <c r="B34" s="194" t="s">
        <v>14</v>
      </c>
      <c r="C34" s="195" t="s">
        <v>221</v>
      </c>
      <c r="D34" s="190">
        <v>168107</v>
      </c>
      <c r="E34" s="190">
        <v>5485</v>
      </c>
      <c r="F34" s="190">
        <v>30551</v>
      </c>
      <c r="G34" s="190">
        <v>6118</v>
      </c>
      <c r="H34" s="190">
        <v>96350</v>
      </c>
      <c r="I34" s="190">
        <v>29603</v>
      </c>
      <c r="J34" s="190">
        <f t="shared" si="0"/>
        <v>133019</v>
      </c>
      <c r="K34" s="329">
        <v>4.9000000000000002E-2</v>
      </c>
      <c r="L34" s="329">
        <v>0.161</v>
      </c>
      <c r="M34" s="330">
        <v>0.13</v>
      </c>
      <c r="N34" s="191">
        <f t="shared" si="1"/>
        <v>268.76499999999999</v>
      </c>
      <c r="O34" s="192">
        <f t="shared" si="2"/>
        <v>1496.999</v>
      </c>
      <c r="P34" s="192">
        <f t="shared" si="2"/>
        <v>984.99800000000005</v>
      </c>
      <c r="Q34" s="192">
        <f t="shared" si="3"/>
        <v>15512.35</v>
      </c>
      <c r="R34" s="192">
        <f t="shared" si="4"/>
        <v>16497.348000000002</v>
      </c>
      <c r="S34" s="192">
        <f t="shared" si="5"/>
        <v>17292.47</v>
      </c>
      <c r="U34" s="350"/>
    </row>
    <row r="35" spans="1:21" ht="24.95" customHeight="1">
      <c r="A35" s="193" t="s">
        <v>60</v>
      </c>
      <c r="B35" s="194" t="s">
        <v>14</v>
      </c>
      <c r="C35" s="195" t="s">
        <v>221</v>
      </c>
      <c r="D35" s="190">
        <v>43244</v>
      </c>
      <c r="E35" s="190">
        <v>1282</v>
      </c>
      <c r="F35" s="190">
        <v>7331</v>
      </c>
      <c r="G35" s="190">
        <v>1563</v>
      </c>
      <c r="H35" s="190">
        <v>24335</v>
      </c>
      <c r="I35" s="190">
        <v>8733</v>
      </c>
      <c r="J35" s="190">
        <f t="shared" si="0"/>
        <v>33229</v>
      </c>
      <c r="K35" s="329">
        <v>5.2999999999999999E-2</v>
      </c>
      <c r="L35" s="329">
        <v>0.14899999999999999</v>
      </c>
      <c r="M35" s="330">
        <v>0.12300000000000001</v>
      </c>
      <c r="N35" s="191">
        <f t="shared" si="1"/>
        <v>67.945999999999998</v>
      </c>
      <c r="O35" s="192">
        <f t="shared" si="2"/>
        <v>388.54300000000001</v>
      </c>
      <c r="P35" s="192">
        <f t="shared" si="2"/>
        <v>232.887</v>
      </c>
      <c r="Q35" s="192">
        <f t="shared" si="3"/>
        <v>3625.915</v>
      </c>
      <c r="R35" s="192">
        <f t="shared" si="4"/>
        <v>3858.8020000000001</v>
      </c>
      <c r="S35" s="192">
        <f t="shared" si="5"/>
        <v>4087.1670000000004</v>
      </c>
      <c r="U35" s="350"/>
    </row>
    <row r="36" spans="1:21" ht="24.95" customHeight="1">
      <c r="A36" s="193" t="s">
        <v>90</v>
      </c>
      <c r="B36" s="194" t="s">
        <v>15</v>
      </c>
      <c r="C36" s="195" t="s">
        <v>222</v>
      </c>
      <c r="D36" s="190">
        <v>59446</v>
      </c>
      <c r="E36" s="190">
        <v>2191</v>
      </c>
      <c r="F36" s="190">
        <v>12066</v>
      </c>
      <c r="G36" s="190">
        <v>2431</v>
      </c>
      <c r="H36" s="190">
        <v>32409</v>
      </c>
      <c r="I36" s="190">
        <v>10349</v>
      </c>
      <c r="J36" s="190">
        <f t="shared" si="0"/>
        <v>46906</v>
      </c>
      <c r="K36" s="329">
        <v>7.4999999999999997E-2</v>
      </c>
      <c r="L36" s="329">
        <v>0.253</v>
      </c>
      <c r="M36" s="330">
        <v>0.20100000000000001</v>
      </c>
      <c r="N36" s="191">
        <f t="shared" si="1"/>
        <v>164.32499999999999</v>
      </c>
      <c r="O36" s="192">
        <f t="shared" si="2"/>
        <v>904.94999999999993</v>
      </c>
      <c r="P36" s="192">
        <f t="shared" si="2"/>
        <v>615.04300000000001</v>
      </c>
      <c r="Q36" s="192">
        <f t="shared" si="3"/>
        <v>8199.4770000000008</v>
      </c>
      <c r="R36" s="192">
        <f t="shared" si="4"/>
        <v>8814.52</v>
      </c>
      <c r="S36" s="192">
        <f t="shared" si="5"/>
        <v>9428.1059999999998</v>
      </c>
      <c r="U36" s="350"/>
    </row>
    <row r="37" spans="1:21" ht="24.95" customHeight="1">
      <c r="A37" s="193" t="s">
        <v>42</v>
      </c>
      <c r="B37" s="194" t="s">
        <v>13</v>
      </c>
      <c r="C37" s="195" t="s">
        <v>221</v>
      </c>
      <c r="D37" s="190">
        <v>310847</v>
      </c>
      <c r="E37" s="190">
        <v>13122</v>
      </c>
      <c r="F37" s="190">
        <v>60336</v>
      </c>
      <c r="G37" s="190">
        <v>14653</v>
      </c>
      <c r="H37" s="190">
        <v>183865</v>
      </c>
      <c r="I37" s="190">
        <v>38871</v>
      </c>
      <c r="J37" s="190">
        <f t="shared" si="0"/>
        <v>258854</v>
      </c>
      <c r="K37" s="329">
        <v>5.2999999999999999E-2</v>
      </c>
      <c r="L37" s="329">
        <v>0.154</v>
      </c>
      <c r="M37" s="330">
        <v>0.128</v>
      </c>
      <c r="N37" s="191">
        <f t="shared" si="1"/>
        <v>695.46600000000001</v>
      </c>
      <c r="O37" s="192">
        <f t="shared" si="2"/>
        <v>3197.808</v>
      </c>
      <c r="P37" s="192">
        <f t="shared" si="2"/>
        <v>2256.5619999999999</v>
      </c>
      <c r="Q37" s="192">
        <f t="shared" si="3"/>
        <v>28315.21</v>
      </c>
      <c r="R37" s="192">
        <f t="shared" si="4"/>
        <v>30571.771999999997</v>
      </c>
      <c r="S37" s="192">
        <f t="shared" si="5"/>
        <v>33133.311999999998</v>
      </c>
      <c r="U37" s="350"/>
    </row>
    <row r="38" spans="1:21" ht="24.95" customHeight="1">
      <c r="A38" s="193" t="s">
        <v>91</v>
      </c>
      <c r="B38" s="194" t="s">
        <v>15</v>
      </c>
      <c r="C38" s="195" t="s">
        <v>221</v>
      </c>
      <c r="D38" s="190">
        <v>52149</v>
      </c>
      <c r="E38" s="190">
        <v>1718</v>
      </c>
      <c r="F38" s="190">
        <v>10271</v>
      </c>
      <c r="G38" s="190">
        <v>1873</v>
      </c>
      <c r="H38" s="190">
        <v>27991</v>
      </c>
      <c r="I38" s="190">
        <v>10296</v>
      </c>
      <c r="J38" s="190">
        <f t="shared" si="0"/>
        <v>40135</v>
      </c>
      <c r="K38" s="329">
        <v>3.3000000000000002E-2</v>
      </c>
      <c r="L38" s="329">
        <v>0.154</v>
      </c>
      <c r="M38" s="330">
        <v>0.12</v>
      </c>
      <c r="N38" s="191">
        <f t="shared" si="1"/>
        <v>56.694000000000003</v>
      </c>
      <c r="O38" s="192">
        <f t="shared" si="2"/>
        <v>338.94300000000004</v>
      </c>
      <c r="P38" s="192">
        <f t="shared" si="2"/>
        <v>288.44200000000001</v>
      </c>
      <c r="Q38" s="192">
        <f t="shared" si="3"/>
        <v>4310.6139999999996</v>
      </c>
      <c r="R38" s="192">
        <f t="shared" si="4"/>
        <v>4599.0559999999996</v>
      </c>
      <c r="S38" s="192">
        <f t="shared" si="5"/>
        <v>4816.2</v>
      </c>
      <c r="U38" s="350"/>
    </row>
    <row r="39" spans="1:21" ht="24.95" customHeight="1">
      <c r="A39" s="193" t="s">
        <v>61</v>
      </c>
      <c r="B39" s="194" t="s">
        <v>14</v>
      </c>
      <c r="C39" s="195" t="s">
        <v>221</v>
      </c>
      <c r="D39" s="190">
        <v>376314</v>
      </c>
      <c r="E39" s="190">
        <v>13698</v>
      </c>
      <c r="F39" s="190">
        <v>73622</v>
      </c>
      <c r="G39" s="190">
        <v>16120</v>
      </c>
      <c r="H39" s="190">
        <v>213916</v>
      </c>
      <c r="I39" s="190">
        <v>58958</v>
      </c>
      <c r="J39" s="190">
        <f t="shared" si="0"/>
        <v>303658</v>
      </c>
      <c r="K39" s="329">
        <v>4.4999999999999998E-2</v>
      </c>
      <c r="L39" s="329">
        <v>0.156</v>
      </c>
      <c r="M39" s="330">
        <v>0.124</v>
      </c>
      <c r="N39" s="191">
        <f t="shared" si="1"/>
        <v>616.41</v>
      </c>
      <c r="O39" s="192">
        <f t="shared" si="2"/>
        <v>3312.99</v>
      </c>
      <c r="P39" s="192">
        <f t="shared" si="2"/>
        <v>2514.7199999999998</v>
      </c>
      <c r="Q39" s="192">
        <f t="shared" si="3"/>
        <v>33370.896000000001</v>
      </c>
      <c r="R39" s="192">
        <f t="shared" si="4"/>
        <v>35885.616000000002</v>
      </c>
      <c r="S39" s="192">
        <f t="shared" si="5"/>
        <v>37653.591999999997</v>
      </c>
      <c r="U39" s="350"/>
    </row>
    <row r="40" spans="1:21" ht="24.95" customHeight="1">
      <c r="A40" s="193" t="s">
        <v>50</v>
      </c>
      <c r="B40" s="194" t="s">
        <v>14</v>
      </c>
      <c r="C40" s="195" t="s">
        <v>221</v>
      </c>
      <c r="D40" s="190">
        <v>67586</v>
      </c>
      <c r="E40" s="190">
        <v>2200</v>
      </c>
      <c r="F40" s="190">
        <v>12576</v>
      </c>
      <c r="G40" s="190">
        <v>2589</v>
      </c>
      <c r="H40" s="190">
        <v>38887</v>
      </c>
      <c r="I40" s="190">
        <v>11334</v>
      </c>
      <c r="J40" s="190">
        <f t="shared" si="0"/>
        <v>54052</v>
      </c>
      <c r="K40" s="329">
        <v>5.0999999999999997E-2</v>
      </c>
      <c r="L40" s="329">
        <v>0.161</v>
      </c>
      <c r="M40" s="330">
        <v>0.13100000000000001</v>
      </c>
      <c r="N40" s="191">
        <f t="shared" si="1"/>
        <v>112.19999999999999</v>
      </c>
      <c r="O40" s="192">
        <f t="shared" si="2"/>
        <v>641.37599999999998</v>
      </c>
      <c r="P40" s="192">
        <f t="shared" si="2"/>
        <v>416.82900000000001</v>
      </c>
      <c r="Q40" s="192">
        <f t="shared" si="3"/>
        <v>6260.8069999999998</v>
      </c>
      <c r="R40" s="192">
        <f t="shared" si="4"/>
        <v>6677.6359999999995</v>
      </c>
      <c r="S40" s="192">
        <f t="shared" si="5"/>
        <v>7080.8119999999999</v>
      </c>
      <c r="U40" s="350"/>
    </row>
    <row r="41" spans="1:21" ht="24.95" customHeight="1">
      <c r="A41" s="193" t="s">
        <v>104</v>
      </c>
      <c r="B41" s="194" t="s">
        <v>16</v>
      </c>
      <c r="C41" s="195" t="s">
        <v>221</v>
      </c>
      <c r="D41" s="190">
        <v>221112</v>
      </c>
      <c r="E41" s="190">
        <v>7699</v>
      </c>
      <c r="F41" s="190">
        <v>41869</v>
      </c>
      <c r="G41" s="190">
        <v>8772</v>
      </c>
      <c r="H41" s="190">
        <v>127422</v>
      </c>
      <c r="I41" s="190">
        <v>35350</v>
      </c>
      <c r="J41" s="190">
        <f t="shared" si="0"/>
        <v>178063</v>
      </c>
      <c r="K41" s="329">
        <v>4.8000000000000001E-2</v>
      </c>
      <c r="L41" s="329">
        <v>0.14000000000000001</v>
      </c>
      <c r="M41" s="330">
        <v>0.115</v>
      </c>
      <c r="N41" s="191">
        <f t="shared" si="1"/>
        <v>369.55200000000002</v>
      </c>
      <c r="O41" s="192">
        <f t="shared" si="2"/>
        <v>2009.712</v>
      </c>
      <c r="P41" s="192">
        <f t="shared" si="2"/>
        <v>1228.0800000000002</v>
      </c>
      <c r="Q41" s="192">
        <f t="shared" si="3"/>
        <v>17839.080000000002</v>
      </c>
      <c r="R41" s="192">
        <f t="shared" si="4"/>
        <v>19067.160000000003</v>
      </c>
      <c r="S41" s="192">
        <f t="shared" si="5"/>
        <v>20477.245000000003</v>
      </c>
      <c r="U41" s="350"/>
    </row>
    <row r="42" spans="1:21" ht="24.95" customHeight="1">
      <c r="A42" s="193" t="s">
        <v>76</v>
      </c>
      <c r="B42" s="194" t="s">
        <v>381</v>
      </c>
      <c r="C42" s="195" t="s">
        <v>221</v>
      </c>
      <c r="D42" s="190">
        <v>12008</v>
      </c>
      <c r="E42" s="190">
        <v>353</v>
      </c>
      <c r="F42" s="190">
        <v>1968</v>
      </c>
      <c r="G42" s="190">
        <v>425</v>
      </c>
      <c r="H42" s="190">
        <v>6964</v>
      </c>
      <c r="I42" s="190">
        <v>2298</v>
      </c>
      <c r="J42" s="190">
        <f t="shared" si="0"/>
        <v>9357</v>
      </c>
      <c r="K42" s="329">
        <v>5.2999999999999999E-2</v>
      </c>
      <c r="L42" s="329">
        <v>0.13500000000000001</v>
      </c>
      <c r="M42" s="330">
        <v>0.113</v>
      </c>
      <c r="N42" s="191">
        <f t="shared" si="1"/>
        <v>18.709</v>
      </c>
      <c r="O42" s="192">
        <f t="shared" si="2"/>
        <v>104.304</v>
      </c>
      <c r="P42" s="192">
        <f t="shared" si="2"/>
        <v>57.375000000000007</v>
      </c>
      <c r="Q42" s="192">
        <f t="shared" si="3"/>
        <v>940.1400000000001</v>
      </c>
      <c r="R42" s="192">
        <f t="shared" si="4"/>
        <v>997.5150000000001</v>
      </c>
      <c r="S42" s="192">
        <f t="shared" si="5"/>
        <v>1057.3410000000001</v>
      </c>
      <c r="U42" s="350"/>
    </row>
    <row r="43" spans="1:21" ht="24.95" customHeight="1">
      <c r="A43" s="193" t="s">
        <v>126</v>
      </c>
      <c r="B43" s="194" t="s">
        <v>428</v>
      </c>
      <c r="C43" s="195" t="s">
        <v>222</v>
      </c>
      <c r="D43" s="190">
        <v>8862</v>
      </c>
      <c r="E43" s="190">
        <v>267</v>
      </c>
      <c r="F43" s="190">
        <v>1537</v>
      </c>
      <c r="G43" s="190">
        <v>330</v>
      </c>
      <c r="H43" s="190">
        <v>4618</v>
      </c>
      <c r="I43" s="190">
        <v>2110</v>
      </c>
      <c r="J43" s="190">
        <f t="shared" si="0"/>
        <v>6485</v>
      </c>
      <c r="K43" s="329">
        <v>6.4000000000000001E-2</v>
      </c>
      <c r="L43" s="329">
        <v>0.20699999999999999</v>
      </c>
      <c r="M43" s="330">
        <v>0.16699999999999998</v>
      </c>
      <c r="N43" s="191">
        <f t="shared" si="1"/>
        <v>17.088000000000001</v>
      </c>
      <c r="O43" s="192">
        <f t="shared" si="2"/>
        <v>98.367999999999995</v>
      </c>
      <c r="P43" s="192">
        <f t="shared" si="2"/>
        <v>68.31</v>
      </c>
      <c r="Q43" s="192">
        <f t="shared" si="3"/>
        <v>955.92599999999993</v>
      </c>
      <c r="R43" s="192">
        <f t="shared" si="4"/>
        <v>1024.2359999999999</v>
      </c>
      <c r="S43" s="192">
        <f t="shared" si="5"/>
        <v>1082.9949999999999</v>
      </c>
      <c r="U43" s="350"/>
    </row>
    <row r="44" spans="1:21" ht="24.95" customHeight="1">
      <c r="A44" s="193" t="s">
        <v>51</v>
      </c>
      <c r="B44" s="194" t="s">
        <v>14</v>
      </c>
      <c r="C44" s="195" t="s">
        <v>222</v>
      </c>
      <c r="D44" s="190">
        <v>60566</v>
      </c>
      <c r="E44" s="190">
        <v>1759</v>
      </c>
      <c r="F44" s="190">
        <v>10092</v>
      </c>
      <c r="G44" s="190">
        <v>2670</v>
      </c>
      <c r="H44" s="190">
        <v>36035</v>
      </c>
      <c r="I44" s="190">
        <v>10010</v>
      </c>
      <c r="J44" s="190">
        <f t="shared" si="0"/>
        <v>48797</v>
      </c>
      <c r="K44" s="329">
        <v>4.2000000000000003E-2</v>
      </c>
      <c r="L44" s="329">
        <v>0.14499999999999999</v>
      </c>
      <c r="M44" s="330">
        <v>0.11800000000000001</v>
      </c>
      <c r="N44" s="191">
        <f t="shared" si="1"/>
        <v>73.878</v>
      </c>
      <c r="O44" s="192">
        <f t="shared" si="2"/>
        <v>423.86400000000003</v>
      </c>
      <c r="P44" s="192">
        <f t="shared" si="2"/>
        <v>387.15</v>
      </c>
      <c r="Q44" s="192">
        <f t="shared" si="3"/>
        <v>5225.0749999999998</v>
      </c>
      <c r="R44" s="192">
        <f t="shared" si="4"/>
        <v>5612.2249999999995</v>
      </c>
      <c r="S44" s="192">
        <f t="shared" si="5"/>
        <v>5758.0460000000003</v>
      </c>
      <c r="U44" s="350"/>
    </row>
    <row r="45" spans="1:21" ht="24.95" customHeight="1">
      <c r="A45" s="193" t="s">
        <v>92</v>
      </c>
      <c r="B45" s="194" t="s">
        <v>15</v>
      </c>
      <c r="C45" s="195" t="s">
        <v>222</v>
      </c>
      <c r="D45" s="190">
        <v>21520</v>
      </c>
      <c r="E45" s="190">
        <v>638</v>
      </c>
      <c r="F45" s="190">
        <v>3854</v>
      </c>
      <c r="G45" s="190">
        <v>812</v>
      </c>
      <c r="H45" s="190">
        <v>12766</v>
      </c>
      <c r="I45" s="190">
        <v>3450</v>
      </c>
      <c r="J45" s="190">
        <f t="shared" si="0"/>
        <v>17432</v>
      </c>
      <c r="K45" s="329">
        <v>7.5999999999999998E-2</v>
      </c>
      <c r="L45" s="329">
        <v>0.22500000000000001</v>
      </c>
      <c r="M45" s="330">
        <v>0.182</v>
      </c>
      <c r="N45" s="191">
        <f t="shared" si="1"/>
        <v>48.488</v>
      </c>
      <c r="O45" s="192">
        <f t="shared" si="2"/>
        <v>292.904</v>
      </c>
      <c r="P45" s="192">
        <f t="shared" si="2"/>
        <v>182.70000000000002</v>
      </c>
      <c r="Q45" s="192">
        <f t="shared" si="3"/>
        <v>2872.35</v>
      </c>
      <c r="R45" s="192">
        <f t="shared" si="4"/>
        <v>3055.0499999999997</v>
      </c>
      <c r="S45" s="192">
        <f t="shared" si="5"/>
        <v>3172.6239999999998</v>
      </c>
      <c r="U45" s="350"/>
    </row>
    <row r="46" spans="1:21" ht="24.95" customHeight="1">
      <c r="A46" s="193" t="s">
        <v>110</v>
      </c>
      <c r="B46" s="194" t="s">
        <v>17</v>
      </c>
      <c r="C46" s="195" t="s">
        <v>221</v>
      </c>
      <c r="D46" s="190">
        <v>527696</v>
      </c>
      <c r="E46" s="190">
        <v>18754</v>
      </c>
      <c r="F46" s="190">
        <v>96638</v>
      </c>
      <c r="G46" s="190">
        <v>27249</v>
      </c>
      <c r="H46" s="190">
        <v>304812</v>
      </c>
      <c r="I46" s="190">
        <v>80243</v>
      </c>
      <c r="J46" s="190">
        <f t="shared" si="0"/>
        <v>428699</v>
      </c>
      <c r="K46" s="329">
        <v>0.04</v>
      </c>
      <c r="L46" s="329">
        <v>0.14199999999999999</v>
      </c>
      <c r="M46" s="330">
        <v>0.114</v>
      </c>
      <c r="N46" s="191">
        <f t="shared" si="1"/>
        <v>750.16</v>
      </c>
      <c r="O46" s="192">
        <f t="shared" si="2"/>
        <v>3865.52</v>
      </c>
      <c r="P46" s="192">
        <f t="shared" si="2"/>
        <v>3869.3579999999997</v>
      </c>
      <c r="Q46" s="192">
        <f t="shared" si="3"/>
        <v>43283.303999999996</v>
      </c>
      <c r="R46" s="192">
        <f t="shared" si="4"/>
        <v>47152.661999999997</v>
      </c>
      <c r="S46" s="192">
        <f t="shared" si="5"/>
        <v>48871.686000000002</v>
      </c>
      <c r="U46" s="350"/>
    </row>
    <row r="47" spans="1:21" ht="24.95" customHeight="1">
      <c r="A47" s="193" t="s">
        <v>52</v>
      </c>
      <c r="B47" s="194" t="s">
        <v>14</v>
      </c>
      <c r="C47" s="195" t="s">
        <v>222</v>
      </c>
      <c r="D47" s="190">
        <v>51468</v>
      </c>
      <c r="E47" s="190">
        <v>1727</v>
      </c>
      <c r="F47" s="190">
        <v>9280</v>
      </c>
      <c r="G47" s="190">
        <v>1779</v>
      </c>
      <c r="H47" s="190">
        <v>28250</v>
      </c>
      <c r="I47" s="190">
        <v>10432</v>
      </c>
      <c r="J47" s="190">
        <f t="shared" si="0"/>
        <v>39309</v>
      </c>
      <c r="K47" s="329">
        <v>4.2999999999999997E-2</v>
      </c>
      <c r="L47" s="329">
        <v>0.17199999999999999</v>
      </c>
      <c r="M47" s="330">
        <v>0.13699999999999998</v>
      </c>
      <c r="N47" s="191">
        <f t="shared" si="1"/>
        <v>74.260999999999996</v>
      </c>
      <c r="O47" s="192">
        <f t="shared" si="2"/>
        <v>399.03999999999996</v>
      </c>
      <c r="P47" s="192">
        <f t="shared" si="2"/>
        <v>305.988</v>
      </c>
      <c r="Q47" s="192">
        <f t="shared" si="3"/>
        <v>4859</v>
      </c>
      <c r="R47" s="192">
        <f t="shared" si="4"/>
        <v>5164.9880000000003</v>
      </c>
      <c r="S47" s="192">
        <f t="shared" si="5"/>
        <v>5385.3329999999996</v>
      </c>
      <c r="U47" s="350"/>
    </row>
    <row r="48" spans="1:21" ht="24.95" customHeight="1">
      <c r="A48" s="193" t="s">
        <v>111</v>
      </c>
      <c r="B48" s="194" t="s">
        <v>17</v>
      </c>
      <c r="C48" s="195" t="s">
        <v>222</v>
      </c>
      <c r="D48" s="190">
        <v>133065</v>
      </c>
      <c r="E48" s="190">
        <v>5629</v>
      </c>
      <c r="F48" s="190">
        <v>30286</v>
      </c>
      <c r="G48" s="190">
        <v>6263</v>
      </c>
      <c r="H48" s="190">
        <v>74052</v>
      </c>
      <c r="I48" s="190">
        <v>16835</v>
      </c>
      <c r="J48" s="190">
        <f t="shared" si="0"/>
        <v>110601</v>
      </c>
      <c r="K48" s="329">
        <v>4.7E-2</v>
      </c>
      <c r="L48" s="329">
        <v>0.161</v>
      </c>
      <c r="M48" s="330">
        <v>0.125</v>
      </c>
      <c r="N48" s="191">
        <f t="shared" si="1"/>
        <v>264.56299999999999</v>
      </c>
      <c r="O48" s="192">
        <f t="shared" si="2"/>
        <v>1423.442</v>
      </c>
      <c r="P48" s="192">
        <f t="shared" si="2"/>
        <v>1008.3430000000001</v>
      </c>
      <c r="Q48" s="192">
        <f t="shared" si="3"/>
        <v>11922.372000000001</v>
      </c>
      <c r="R48" s="192">
        <f t="shared" si="4"/>
        <v>12930.715000000002</v>
      </c>
      <c r="S48" s="192">
        <f t="shared" si="5"/>
        <v>13825.125</v>
      </c>
      <c r="U48" s="350"/>
    </row>
    <row r="49" spans="1:21" ht="24.95" customHeight="1">
      <c r="A49" s="193" t="s">
        <v>127</v>
      </c>
      <c r="B49" s="194" t="s">
        <v>428</v>
      </c>
      <c r="C49" s="195" t="s">
        <v>221</v>
      </c>
      <c r="D49" s="190">
        <v>62780</v>
      </c>
      <c r="E49" s="190">
        <v>1852</v>
      </c>
      <c r="F49" s="190">
        <v>9485</v>
      </c>
      <c r="G49" s="190">
        <v>1996</v>
      </c>
      <c r="H49" s="190">
        <v>33645</v>
      </c>
      <c r="I49" s="190">
        <v>15802</v>
      </c>
      <c r="J49" s="190">
        <f t="shared" si="0"/>
        <v>45126</v>
      </c>
      <c r="K49" s="329">
        <v>4.0999999999999995E-2</v>
      </c>
      <c r="L49" s="329">
        <v>0.13800000000000001</v>
      </c>
      <c r="M49" s="330">
        <v>0.114</v>
      </c>
      <c r="N49" s="191">
        <f t="shared" si="1"/>
        <v>75.931999999999988</v>
      </c>
      <c r="O49" s="192">
        <f t="shared" si="2"/>
        <v>388.88499999999993</v>
      </c>
      <c r="P49" s="192">
        <f t="shared" si="2"/>
        <v>275.44800000000004</v>
      </c>
      <c r="Q49" s="192">
        <f t="shared" si="3"/>
        <v>4643.01</v>
      </c>
      <c r="R49" s="192">
        <f t="shared" si="4"/>
        <v>4918.4580000000005</v>
      </c>
      <c r="S49" s="192">
        <f t="shared" si="5"/>
        <v>5144.3640000000005</v>
      </c>
      <c r="U49" s="350"/>
    </row>
    <row r="50" spans="1:21" ht="24.95" customHeight="1">
      <c r="A50" s="193" t="s">
        <v>128</v>
      </c>
      <c r="B50" s="194" t="s">
        <v>428</v>
      </c>
      <c r="C50" s="195" t="s">
        <v>221</v>
      </c>
      <c r="D50" s="190">
        <v>117902</v>
      </c>
      <c r="E50" s="190">
        <v>3346</v>
      </c>
      <c r="F50" s="190">
        <v>18868</v>
      </c>
      <c r="G50" s="190">
        <v>3555</v>
      </c>
      <c r="H50" s="190">
        <v>60875</v>
      </c>
      <c r="I50" s="190">
        <v>31258</v>
      </c>
      <c r="J50" s="190">
        <f t="shared" si="0"/>
        <v>83298</v>
      </c>
      <c r="K50" s="329">
        <v>0.05</v>
      </c>
      <c r="L50" s="329">
        <v>0.17499999999999999</v>
      </c>
      <c r="M50" s="330">
        <v>0.14199999999999999</v>
      </c>
      <c r="N50" s="191">
        <f t="shared" si="1"/>
        <v>167.3</v>
      </c>
      <c r="O50" s="192">
        <f t="shared" si="2"/>
        <v>943.40000000000009</v>
      </c>
      <c r="P50" s="192">
        <f t="shared" si="2"/>
        <v>622.125</v>
      </c>
      <c r="Q50" s="192">
        <f t="shared" si="3"/>
        <v>10653.125</v>
      </c>
      <c r="R50" s="192">
        <f t="shared" si="4"/>
        <v>11275.25</v>
      </c>
      <c r="S50" s="192">
        <f t="shared" si="5"/>
        <v>11828.315999999999</v>
      </c>
      <c r="U50" s="350"/>
    </row>
    <row r="51" spans="1:21" ht="24.95" customHeight="1">
      <c r="A51" s="193" t="s">
        <v>77</v>
      </c>
      <c r="B51" s="194" t="s">
        <v>381</v>
      </c>
      <c r="C51" s="195" t="s">
        <v>222</v>
      </c>
      <c r="D51" s="190">
        <v>23855</v>
      </c>
      <c r="E51" s="190">
        <v>697</v>
      </c>
      <c r="F51" s="190">
        <v>4010</v>
      </c>
      <c r="G51" s="190">
        <v>1258</v>
      </c>
      <c r="H51" s="190">
        <v>13437</v>
      </c>
      <c r="I51" s="190">
        <v>4453</v>
      </c>
      <c r="J51" s="190">
        <f t="shared" si="0"/>
        <v>18705</v>
      </c>
      <c r="K51" s="329">
        <v>3.7999999999999999E-2</v>
      </c>
      <c r="L51" s="329">
        <v>0.14599999999999999</v>
      </c>
      <c r="M51" s="330">
        <v>0.11699999999999999</v>
      </c>
      <c r="N51" s="191">
        <f t="shared" si="1"/>
        <v>26.486000000000001</v>
      </c>
      <c r="O51" s="192">
        <f t="shared" si="2"/>
        <v>152.38</v>
      </c>
      <c r="P51" s="192">
        <f t="shared" si="2"/>
        <v>183.66799999999998</v>
      </c>
      <c r="Q51" s="192">
        <f t="shared" si="3"/>
        <v>1961.8019999999999</v>
      </c>
      <c r="R51" s="192">
        <f t="shared" si="4"/>
        <v>2145.4699999999998</v>
      </c>
      <c r="S51" s="192">
        <f t="shared" si="5"/>
        <v>2188.4849999999997</v>
      </c>
      <c r="U51" s="350"/>
    </row>
    <row r="52" spans="1:21" ht="24.95" customHeight="1">
      <c r="A52" s="193" t="s">
        <v>112</v>
      </c>
      <c r="B52" s="194" t="s">
        <v>17</v>
      </c>
      <c r="C52" s="195" t="s">
        <v>221</v>
      </c>
      <c r="D52" s="190">
        <v>54679</v>
      </c>
      <c r="E52" s="190">
        <v>2775</v>
      </c>
      <c r="F52" s="190">
        <v>13981</v>
      </c>
      <c r="G52" s="190">
        <v>2382</v>
      </c>
      <c r="H52" s="190">
        <v>30294</v>
      </c>
      <c r="I52" s="190">
        <v>5247</v>
      </c>
      <c r="J52" s="190">
        <f t="shared" si="0"/>
        <v>46657</v>
      </c>
      <c r="K52" s="329">
        <v>0.05</v>
      </c>
      <c r="L52" s="329">
        <v>0.21299999999999999</v>
      </c>
      <c r="M52" s="330">
        <v>0.16200000000000001</v>
      </c>
      <c r="N52" s="191">
        <f t="shared" si="1"/>
        <v>138.75</v>
      </c>
      <c r="O52" s="192">
        <f t="shared" si="2"/>
        <v>699.05000000000007</v>
      </c>
      <c r="P52" s="192">
        <f t="shared" si="2"/>
        <v>507.36599999999999</v>
      </c>
      <c r="Q52" s="192">
        <f t="shared" si="3"/>
        <v>6452.6220000000003</v>
      </c>
      <c r="R52" s="192">
        <f t="shared" si="4"/>
        <v>6959.9880000000003</v>
      </c>
      <c r="S52" s="192">
        <f t="shared" si="5"/>
        <v>7558.4340000000002</v>
      </c>
      <c r="U52" s="350"/>
    </row>
    <row r="53" spans="1:21" ht="24.95" customHeight="1">
      <c r="A53" s="193" t="s">
        <v>78</v>
      </c>
      <c r="B53" s="194" t="s">
        <v>381</v>
      </c>
      <c r="C53" s="195" t="s">
        <v>222</v>
      </c>
      <c r="D53" s="190">
        <v>5630</v>
      </c>
      <c r="E53" s="190">
        <v>135</v>
      </c>
      <c r="F53" s="190">
        <v>826</v>
      </c>
      <c r="G53" s="190">
        <v>157</v>
      </c>
      <c r="H53" s="190">
        <v>3397</v>
      </c>
      <c r="I53" s="190">
        <v>1115</v>
      </c>
      <c r="J53" s="190">
        <f t="shared" si="0"/>
        <v>4380</v>
      </c>
      <c r="K53" s="329">
        <v>6.2E-2</v>
      </c>
      <c r="L53" s="329">
        <v>0.16899999999999998</v>
      </c>
      <c r="M53" s="330">
        <v>0.14300000000000002</v>
      </c>
      <c r="N53" s="191">
        <f t="shared" si="1"/>
        <v>8.3699999999999992</v>
      </c>
      <c r="O53" s="192">
        <f t="shared" si="2"/>
        <v>51.211999999999996</v>
      </c>
      <c r="P53" s="192">
        <f t="shared" si="2"/>
        <v>26.532999999999998</v>
      </c>
      <c r="Q53" s="192">
        <f t="shared" si="3"/>
        <v>574.09299999999996</v>
      </c>
      <c r="R53" s="192">
        <f t="shared" si="4"/>
        <v>600.62599999999998</v>
      </c>
      <c r="S53" s="192">
        <f t="shared" si="5"/>
        <v>626.34</v>
      </c>
      <c r="U53" s="350"/>
    </row>
    <row r="54" spans="1:21" ht="24.95" customHeight="1">
      <c r="A54" s="193" t="s">
        <v>105</v>
      </c>
      <c r="B54" s="194" t="s">
        <v>16</v>
      </c>
      <c r="C54" s="195" t="s">
        <v>221</v>
      </c>
      <c r="D54" s="190">
        <v>179740</v>
      </c>
      <c r="E54" s="190">
        <v>5932</v>
      </c>
      <c r="F54" s="190">
        <v>33536</v>
      </c>
      <c r="G54" s="190">
        <v>7362</v>
      </c>
      <c r="H54" s="190">
        <v>104709</v>
      </c>
      <c r="I54" s="190">
        <v>28201</v>
      </c>
      <c r="J54" s="190">
        <f t="shared" si="0"/>
        <v>145607</v>
      </c>
      <c r="K54" s="329">
        <v>5.2000000000000005E-2</v>
      </c>
      <c r="L54" s="329">
        <v>0.14800000000000002</v>
      </c>
      <c r="M54" s="330">
        <v>0.121</v>
      </c>
      <c r="N54" s="191">
        <f t="shared" si="1"/>
        <v>308.464</v>
      </c>
      <c r="O54" s="192">
        <f t="shared" si="2"/>
        <v>1743.8720000000001</v>
      </c>
      <c r="P54" s="192">
        <f t="shared" si="2"/>
        <v>1089.5760000000002</v>
      </c>
      <c r="Q54" s="192">
        <f t="shared" si="3"/>
        <v>15496.932000000003</v>
      </c>
      <c r="R54" s="192">
        <f t="shared" si="4"/>
        <v>16586.508000000002</v>
      </c>
      <c r="S54" s="192">
        <f t="shared" si="5"/>
        <v>17618.447</v>
      </c>
      <c r="U54" s="350"/>
    </row>
    <row r="55" spans="1:21" ht="24.95" customHeight="1">
      <c r="A55" s="193" t="s">
        <v>129</v>
      </c>
      <c r="B55" s="194" t="s">
        <v>428</v>
      </c>
      <c r="C55" s="195" t="s">
        <v>222</v>
      </c>
      <c r="D55" s="190">
        <v>43662</v>
      </c>
      <c r="E55" s="190">
        <v>1195</v>
      </c>
      <c r="F55" s="190">
        <v>6274</v>
      </c>
      <c r="G55" s="190">
        <v>4125</v>
      </c>
      <c r="H55" s="190">
        <v>23648</v>
      </c>
      <c r="I55" s="190">
        <v>8420</v>
      </c>
      <c r="J55" s="190">
        <f t="shared" si="0"/>
        <v>34047</v>
      </c>
      <c r="K55" s="329">
        <v>6.6000000000000003E-2</v>
      </c>
      <c r="L55" s="329">
        <v>0.21</v>
      </c>
      <c r="M55" s="330">
        <v>0.17600000000000002</v>
      </c>
      <c r="N55" s="191">
        <f t="shared" si="1"/>
        <v>78.87</v>
      </c>
      <c r="O55" s="192">
        <f t="shared" si="2"/>
        <v>414.084</v>
      </c>
      <c r="P55" s="192">
        <f t="shared" si="2"/>
        <v>866.25</v>
      </c>
      <c r="Q55" s="192">
        <f t="shared" si="3"/>
        <v>4966.08</v>
      </c>
      <c r="R55" s="192">
        <f t="shared" si="4"/>
        <v>5832.33</v>
      </c>
      <c r="S55" s="192">
        <f t="shared" si="5"/>
        <v>5992.2720000000008</v>
      </c>
      <c r="U55" s="350"/>
    </row>
    <row r="56" spans="1:21" ht="24.95" customHeight="1">
      <c r="A56" s="193" t="s">
        <v>43</v>
      </c>
      <c r="B56" s="194" t="s">
        <v>13</v>
      </c>
      <c r="C56" s="195" t="s">
        <v>221</v>
      </c>
      <c r="D56" s="190">
        <v>200102</v>
      </c>
      <c r="E56" s="190">
        <v>7345</v>
      </c>
      <c r="F56" s="190">
        <v>42261</v>
      </c>
      <c r="G56" s="190">
        <v>8199</v>
      </c>
      <c r="H56" s="190">
        <v>115671</v>
      </c>
      <c r="I56" s="190">
        <v>26626</v>
      </c>
      <c r="J56" s="190">
        <f t="shared" si="0"/>
        <v>166131</v>
      </c>
      <c r="K56" s="329">
        <v>4.9000000000000002E-2</v>
      </c>
      <c r="L56" s="329">
        <v>0.16399999999999998</v>
      </c>
      <c r="M56" s="330">
        <v>0.129</v>
      </c>
      <c r="N56" s="191">
        <f t="shared" si="1"/>
        <v>359.90500000000003</v>
      </c>
      <c r="O56" s="192">
        <f t="shared" si="2"/>
        <v>2070.7890000000002</v>
      </c>
      <c r="P56" s="192">
        <f t="shared" si="2"/>
        <v>1344.6359999999997</v>
      </c>
      <c r="Q56" s="192">
        <f t="shared" si="3"/>
        <v>18970.043999999998</v>
      </c>
      <c r="R56" s="192">
        <f t="shared" si="4"/>
        <v>20314.679999999997</v>
      </c>
      <c r="S56" s="192">
        <f t="shared" si="5"/>
        <v>21430.899000000001</v>
      </c>
      <c r="U56" s="350"/>
    </row>
    <row r="57" spans="1:21" ht="24.95" customHeight="1">
      <c r="A57" s="193" t="s">
        <v>79</v>
      </c>
      <c r="B57" s="194" t="s">
        <v>381</v>
      </c>
      <c r="C57" s="195" t="s">
        <v>221</v>
      </c>
      <c r="D57" s="190">
        <v>10356</v>
      </c>
      <c r="E57" s="190">
        <v>296</v>
      </c>
      <c r="F57" s="190">
        <v>1700</v>
      </c>
      <c r="G57" s="190">
        <v>345</v>
      </c>
      <c r="H57" s="190">
        <v>5859</v>
      </c>
      <c r="I57" s="190">
        <v>2156</v>
      </c>
      <c r="J57" s="190">
        <f t="shared" si="0"/>
        <v>7904</v>
      </c>
      <c r="K57" s="329">
        <v>5.9000000000000004E-2</v>
      </c>
      <c r="L57" s="329">
        <v>0.16399999999999998</v>
      </c>
      <c r="M57" s="330">
        <v>0.13800000000000001</v>
      </c>
      <c r="N57" s="191">
        <f t="shared" si="1"/>
        <v>17.464000000000002</v>
      </c>
      <c r="O57" s="192">
        <f t="shared" si="2"/>
        <v>100.30000000000001</v>
      </c>
      <c r="P57" s="192">
        <f t="shared" si="2"/>
        <v>56.579999999999991</v>
      </c>
      <c r="Q57" s="192">
        <f t="shared" si="3"/>
        <v>960.87599999999986</v>
      </c>
      <c r="R57" s="192">
        <f t="shared" si="4"/>
        <v>1017.4559999999999</v>
      </c>
      <c r="S57" s="192">
        <f t="shared" si="5"/>
        <v>1090.7520000000002</v>
      </c>
      <c r="U57" s="350"/>
    </row>
    <row r="58" spans="1:21" ht="24.95" customHeight="1">
      <c r="A58" s="193" t="s">
        <v>113</v>
      </c>
      <c r="B58" s="194" t="s">
        <v>17</v>
      </c>
      <c r="C58" s="195" t="s">
        <v>222</v>
      </c>
      <c r="D58" s="190">
        <v>59486</v>
      </c>
      <c r="E58" s="190">
        <v>2370</v>
      </c>
      <c r="F58" s="190">
        <v>12411</v>
      </c>
      <c r="G58" s="190">
        <v>2410</v>
      </c>
      <c r="H58" s="190">
        <v>32618</v>
      </c>
      <c r="I58" s="190">
        <v>9677</v>
      </c>
      <c r="J58" s="190">
        <f t="shared" si="0"/>
        <v>47439</v>
      </c>
      <c r="K58" s="329">
        <v>5.7000000000000002E-2</v>
      </c>
      <c r="L58" s="329">
        <v>0.184</v>
      </c>
      <c r="M58" s="330">
        <v>0.14699999999999999</v>
      </c>
      <c r="N58" s="191">
        <f t="shared" si="1"/>
        <v>135.09</v>
      </c>
      <c r="O58" s="192">
        <f t="shared" si="2"/>
        <v>707.42700000000002</v>
      </c>
      <c r="P58" s="192">
        <f t="shared" si="2"/>
        <v>443.44</v>
      </c>
      <c r="Q58" s="192">
        <f t="shared" si="3"/>
        <v>6001.7119999999995</v>
      </c>
      <c r="R58" s="192">
        <f t="shared" si="4"/>
        <v>6445.1519999999991</v>
      </c>
      <c r="S58" s="192">
        <f t="shared" si="5"/>
        <v>6973.5329999999994</v>
      </c>
      <c r="U58" s="350"/>
    </row>
    <row r="59" spans="1:21" ht="24.95" customHeight="1">
      <c r="A59" s="193" t="s">
        <v>93</v>
      </c>
      <c r="B59" s="194" t="s">
        <v>15</v>
      </c>
      <c r="C59" s="195" t="s">
        <v>222</v>
      </c>
      <c r="D59" s="190">
        <v>57366</v>
      </c>
      <c r="E59" s="190">
        <v>1973</v>
      </c>
      <c r="F59" s="190">
        <v>10691</v>
      </c>
      <c r="G59" s="190">
        <v>2180</v>
      </c>
      <c r="H59" s="190">
        <v>31375</v>
      </c>
      <c r="I59" s="190">
        <v>11147</v>
      </c>
      <c r="J59" s="190">
        <f t="shared" si="0"/>
        <v>44246</v>
      </c>
      <c r="K59" s="329">
        <v>4.0999999999999995E-2</v>
      </c>
      <c r="L59" s="329">
        <v>0.17699999999999999</v>
      </c>
      <c r="M59" s="330">
        <v>0.14000000000000001</v>
      </c>
      <c r="N59" s="191">
        <f t="shared" si="1"/>
        <v>80.892999999999986</v>
      </c>
      <c r="O59" s="192">
        <f t="shared" si="2"/>
        <v>438.33099999999996</v>
      </c>
      <c r="P59" s="192">
        <f t="shared" si="2"/>
        <v>385.85999999999996</v>
      </c>
      <c r="Q59" s="192">
        <f t="shared" si="3"/>
        <v>5553.375</v>
      </c>
      <c r="R59" s="192">
        <f t="shared" si="4"/>
        <v>5939.2349999999997</v>
      </c>
      <c r="S59" s="192">
        <f t="shared" si="5"/>
        <v>6194.4400000000005</v>
      </c>
      <c r="U59" s="350"/>
    </row>
    <row r="60" spans="1:21" ht="24.95" customHeight="1">
      <c r="A60" s="193" t="s">
        <v>106</v>
      </c>
      <c r="B60" s="194" t="s">
        <v>16</v>
      </c>
      <c r="C60" s="195" t="s">
        <v>221</v>
      </c>
      <c r="D60" s="190">
        <v>84494</v>
      </c>
      <c r="E60" s="190">
        <v>2486</v>
      </c>
      <c r="F60" s="190">
        <v>14771</v>
      </c>
      <c r="G60" s="190">
        <v>3065</v>
      </c>
      <c r="H60" s="190">
        <v>49444</v>
      </c>
      <c r="I60" s="190">
        <v>14728</v>
      </c>
      <c r="J60" s="190">
        <f t="shared" si="0"/>
        <v>67280</v>
      </c>
      <c r="K60" s="329">
        <v>4.5999999999999999E-2</v>
      </c>
      <c r="L60" s="329">
        <v>0.13400000000000001</v>
      </c>
      <c r="M60" s="330">
        <v>0.111</v>
      </c>
      <c r="N60" s="191">
        <f t="shared" si="1"/>
        <v>114.35599999999999</v>
      </c>
      <c r="O60" s="192">
        <f t="shared" si="2"/>
        <v>679.46600000000001</v>
      </c>
      <c r="P60" s="192">
        <f t="shared" si="2"/>
        <v>410.71000000000004</v>
      </c>
      <c r="Q60" s="192">
        <f t="shared" si="3"/>
        <v>6625.4960000000001</v>
      </c>
      <c r="R60" s="192">
        <f t="shared" si="4"/>
        <v>7036.2060000000001</v>
      </c>
      <c r="S60" s="192">
        <f t="shared" si="5"/>
        <v>7468.08</v>
      </c>
      <c r="U60" s="350"/>
    </row>
    <row r="61" spans="1:21" ht="24.95" customHeight="1">
      <c r="A61" s="193" t="s">
        <v>130</v>
      </c>
      <c r="B61" s="194" t="s">
        <v>428</v>
      </c>
      <c r="C61" s="195" t="s">
        <v>222</v>
      </c>
      <c r="D61" s="190">
        <v>35779</v>
      </c>
      <c r="E61" s="190">
        <v>1088</v>
      </c>
      <c r="F61" s="190">
        <v>5504</v>
      </c>
      <c r="G61" s="190">
        <v>1241</v>
      </c>
      <c r="H61" s="190">
        <v>17728</v>
      </c>
      <c r="I61" s="190">
        <v>10218</v>
      </c>
      <c r="J61" s="190">
        <f t="shared" si="0"/>
        <v>24473</v>
      </c>
      <c r="K61" s="329">
        <v>7.0999999999999994E-2</v>
      </c>
      <c r="L61" s="329">
        <v>0.2</v>
      </c>
      <c r="M61" s="330">
        <v>0.16600000000000001</v>
      </c>
      <c r="N61" s="191">
        <f t="shared" si="1"/>
        <v>77.24799999999999</v>
      </c>
      <c r="O61" s="192">
        <f t="shared" si="2"/>
        <v>390.78399999999999</v>
      </c>
      <c r="P61" s="192">
        <f t="shared" si="2"/>
        <v>248.20000000000002</v>
      </c>
      <c r="Q61" s="192">
        <f t="shared" si="3"/>
        <v>3545.6000000000004</v>
      </c>
      <c r="R61" s="192">
        <f t="shared" si="4"/>
        <v>3793.8</v>
      </c>
      <c r="S61" s="192">
        <f t="shared" si="5"/>
        <v>4062.518</v>
      </c>
      <c r="U61" s="350"/>
    </row>
    <row r="62" spans="1:21" ht="24.95" customHeight="1">
      <c r="A62" s="193" t="s">
        <v>131</v>
      </c>
      <c r="B62" s="194" t="s">
        <v>428</v>
      </c>
      <c r="C62" s="195" t="s">
        <v>221</v>
      </c>
      <c r="D62" s="190">
        <v>22504</v>
      </c>
      <c r="E62" s="190">
        <v>631</v>
      </c>
      <c r="F62" s="190">
        <v>3386</v>
      </c>
      <c r="G62" s="190">
        <v>1255</v>
      </c>
      <c r="H62" s="190">
        <v>12188</v>
      </c>
      <c r="I62" s="190">
        <v>5044</v>
      </c>
      <c r="J62" s="190">
        <f t="shared" si="0"/>
        <v>16829</v>
      </c>
      <c r="K62" s="329">
        <v>0.05</v>
      </c>
      <c r="L62" s="329">
        <v>0.14800000000000002</v>
      </c>
      <c r="M62" s="330">
        <v>0.12300000000000001</v>
      </c>
      <c r="N62" s="191">
        <f t="shared" si="1"/>
        <v>31.55</v>
      </c>
      <c r="O62" s="192">
        <f t="shared" si="2"/>
        <v>169.3</v>
      </c>
      <c r="P62" s="192">
        <f t="shared" si="2"/>
        <v>185.74000000000004</v>
      </c>
      <c r="Q62" s="192">
        <f t="shared" si="3"/>
        <v>1803.8240000000003</v>
      </c>
      <c r="R62" s="192">
        <f t="shared" si="4"/>
        <v>1989.5640000000003</v>
      </c>
      <c r="S62" s="192">
        <f t="shared" si="5"/>
        <v>2069.9670000000001</v>
      </c>
      <c r="U62" s="350"/>
    </row>
    <row r="63" spans="1:21" ht="24.95" customHeight="1">
      <c r="A63" s="193" t="s">
        <v>80</v>
      </c>
      <c r="B63" s="194" t="s">
        <v>381</v>
      </c>
      <c r="C63" s="195" t="s">
        <v>222</v>
      </c>
      <c r="D63" s="190">
        <v>23412</v>
      </c>
      <c r="E63" s="190">
        <v>793</v>
      </c>
      <c r="F63" s="190">
        <v>4002</v>
      </c>
      <c r="G63" s="190">
        <v>741</v>
      </c>
      <c r="H63" s="190">
        <v>12659</v>
      </c>
      <c r="I63" s="190">
        <v>5217</v>
      </c>
      <c r="J63" s="190">
        <f t="shared" si="0"/>
        <v>17402</v>
      </c>
      <c r="K63" s="329">
        <v>4.4000000000000004E-2</v>
      </c>
      <c r="L63" s="329">
        <v>0.14099999999999999</v>
      </c>
      <c r="M63" s="330">
        <v>0.11599999999999999</v>
      </c>
      <c r="N63" s="191">
        <f t="shared" si="1"/>
        <v>34.892000000000003</v>
      </c>
      <c r="O63" s="192">
        <f t="shared" si="2"/>
        <v>176.08800000000002</v>
      </c>
      <c r="P63" s="192">
        <f t="shared" si="2"/>
        <v>104.48099999999999</v>
      </c>
      <c r="Q63" s="192">
        <f t="shared" si="3"/>
        <v>1784.9189999999999</v>
      </c>
      <c r="R63" s="192">
        <f t="shared" si="4"/>
        <v>1889.3999999999999</v>
      </c>
      <c r="S63" s="192">
        <f t="shared" si="5"/>
        <v>2018.6319999999998</v>
      </c>
      <c r="U63" s="350"/>
    </row>
    <row r="64" spans="1:21" ht="24.95" customHeight="1">
      <c r="A64" s="193" t="s">
        <v>132</v>
      </c>
      <c r="B64" s="194" t="s">
        <v>428</v>
      </c>
      <c r="C64" s="195" t="s">
        <v>222</v>
      </c>
      <c r="D64" s="190">
        <v>45915</v>
      </c>
      <c r="E64" s="190">
        <v>1376</v>
      </c>
      <c r="F64" s="190">
        <v>7722</v>
      </c>
      <c r="G64" s="190">
        <v>1628</v>
      </c>
      <c r="H64" s="190">
        <v>25774</v>
      </c>
      <c r="I64" s="190">
        <v>9415</v>
      </c>
      <c r="J64" s="190">
        <f t="shared" si="0"/>
        <v>35124</v>
      </c>
      <c r="K64" s="329">
        <v>4.4000000000000004E-2</v>
      </c>
      <c r="L64" s="329">
        <v>0.17</v>
      </c>
      <c r="M64" s="330">
        <v>0.13699999999999998</v>
      </c>
      <c r="N64" s="191">
        <f t="shared" si="1"/>
        <v>60.544000000000004</v>
      </c>
      <c r="O64" s="192">
        <f t="shared" si="2"/>
        <v>339.76800000000003</v>
      </c>
      <c r="P64" s="192">
        <f t="shared" si="2"/>
        <v>276.76000000000005</v>
      </c>
      <c r="Q64" s="192">
        <f t="shared" si="3"/>
        <v>4381.58</v>
      </c>
      <c r="R64" s="192">
        <f t="shared" si="4"/>
        <v>4658.34</v>
      </c>
      <c r="S64" s="192">
        <f t="shared" si="5"/>
        <v>4811.9879999999994</v>
      </c>
      <c r="U64" s="350"/>
    </row>
    <row r="65" spans="1:21" ht="24.95" customHeight="1">
      <c r="A65" s="193" t="s">
        <v>100</v>
      </c>
      <c r="B65" s="194" t="s">
        <v>14</v>
      </c>
      <c r="C65" s="195" t="s">
        <v>221</v>
      </c>
      <c r="D65" s="190">
        <v>1099382</v>
      </c>
      <c r="E65" s="190">
        <v>44903</v>
      </c>
      <c r="F65" s="190">
        <v>216890</v>
      </c>
      <c r="G65" s="190">
        <v>39457</v>
      </c>
      <c r="H65" s="190">
        <v>674691</v>
      </c>
      <c r="I65" s="190">
        <v>123441</v>
      </c>
      <c r="J65" s="190">
        <f t="shared" si="0"/>
        <v>931038</v>
      </c>
      <c r="K65" s="329">
        <v>5.2999999999999999E-2</v>
      </c>
      <c r="L65" s="329">
        <v>0.14599999999999999</v>
      </c>
      <c r="M65" s="330">
        <v>0.121</v>
      </c>
      <c r="N65" s="191">
        <f t="shared" si="1"/>
        <v>2379.8589999999999</v>
      </c>
      <c r="O65" s="192">
        <f t="shared" si="2"/>
        <v>11495.17</v>
      </c>
      <c r="P65" s="192">
        <f t="shared" si="2"/>
        <v>5760.7219999999998</v>
      </c>
      <c r="Q65" s="192">
        <f t="shared" si="3"/>
        <v>98504.885999999999</v>
      </c>
      <c r="R65" s="192">
        <f t="shared" si="4"/>
        <v>104265.60799999999</v>
      </c>
      <c r="S65" s="192">
        <f t="shared" si="5"/>
        <v>112655.598</v>
      </c>
      <c r="U65" s="350"/>
    </row>
    <row r="66" spans="1:21" ht="24.95" customHeight="1">
      <c r="A66" s="193" t="s">
        <v>133</v>
      </c>
      <c r="B66" s="194" t="s">
        <v>428</v>
      </c>
      <c r="C66" s="195" t="s">
        <v>222</v>
      </c>
      <c r="D66" s="190">
        <v>15216</v>
      </c>
      <c r="E66" s="190">
        <v>449</v>
      </c>
      <c r="F66" s="190">
        <v>2299</v>
      </c>
      <c r="G66" s="190">
        <v>515</v>
      </c>
      <c r="H66" s="190">
        <v>8358</v>
      </c>
      <c r="I66" s="190">
        <v>3595</v>
      </c>
      <c r="J66" s="190">
        <f t="shared" si="0"/>
        <v>11172</v>
      </c>
      <c r="K66" s="329">
        <v>5.4000000000000006E-2</v>
      </c>
      <c r="L66" s="329">
        <v>0.159</v>
      </c>
      <c r="M66" s="330">
        <v>0.13300000000000001</v>
      </c>
      <c r="N66" s="191">
        <f t="shared" si="1"/>
        <v>24.246000000000002</v>
      </c>
      <c r="O66" s="192">
        <f t="shared" si="2"/>
        <v>124.14600000000002</v>
      </c>
      <c r="P66" s="192">
        <f t="shared" si="2"/>
        <v>81.885000000000005</v>
      </c>
      <c r="Q66" s="192">
        <f t="shared" si="3"/>
        <v>1328.922</v>
      </c>
      <c r="R66" s="192">
        <f t="shared" si="4"/>
        <v>1410.807</v>
      </c>
      <c r="S66" s="192">
        <f t="shared" si="5"/>
        <v>1485.876</v>
      </c>
      <c r="U66" s="350"/>
    </row>
    <row r="67" spans="1:21" ht="24.95" customHeight="1">
      <c r="A67" s="193" t="s">
        <v>114</v>
      </c>
      <c r="B67" s="194" t="s">
        <v>17</v>
      </c>
      <c r="C67" s="195" t="s">
        <v>222</v>
      </c>
      <c r="D67" s="190">
        <v>27957</v>
      </c>
      <c r="E67" s="190">
        <v>932</v>
      </c>
      <c r="F67" s="190">
        <v>5163</v>
      </c>
      <c r="G67" s="190">
        <v>1153</v>
      </c>
      <c r="H67" s="190">
        <v>15025</v>
      </c>
      <c r="I67" s="190">
        <v>5684</v>
      </c>
      <c r="J67" s="190">
        <f t="shared" si="0"/>
        <v>21341</v>
      </c>
      <c r="K67" s="329">
        <v>5.5E-2</v>
      </c>
      <c r="L67" s="329">
        <v>0.19399999999999998</v>
      </c>
      <c r="M67" s="330">
        <v>0.154</v>
      </c>
      <c r="N67" s="191">
        <f t="shared" si="1"/>
        <v>51.26</v>
      </c>
      <c r="O67" s="192">
        <f t="shared" si="2"/>
        <v>283.96499999999997</v>
      </c>
      <c r="P67" s="192">
        <f t="shared" si="2"/>
        <v>223.68199999999999</v>
      </c>
      <c r="Q67" s="192">
        <f t="shared" si="3"/>
        <v>2914.8499999999995</v>
      </c>
      <c r="R67" s="192">
        <f t="shared" si="4"/>
        <v>3138.5319999999992</v>
      </c>
      <c r="S67" s="192">
        <f t="shared" si="5"/>
        <v>3286.5140000000001</v>
      </c>
      <c r="U67" s="350"/>
    </row>
    <row r="68" spans="1:21" ht="24.95" customHeight="1">
      <c r="A68" s="193" t="s">
        <v>115</v>
      </c>
      <c r="B68" s="194" t="s">
        <v>17</v>
      </c>
      <c r="C68" s="195" t="s">
        <v>222</v>
      </c>
      <c r="D68" s="190">
        <v>99112</v>
      </c>
      <c r="E68" s="190">
        <v>3362</v>
      </c>
      <c r="F68" s="190">
        <v>16989</v>
      </c>
      <c r="G68" s="190">
        <v>3400</v>
      </c>
      <c r="H68" s="190">
        <v>49378</v>
      </c>
      <c r="I68" s="190">
        <v>25983</v>
      </c>
      <c r="J68" s="190">
        <f t="shared" si="0"/>
        <v>69767</v>
      </c>
      <c r="K68" s="329">
        <v>4.5999999999999999E-2</v>
      </c>
      <c r="L68" s="329">
        <v>0.14300000000000002</v>
      </c>
      <c r="M68" s="330">
        <v>0.115</v>
      </c>
      <c r="N68" s="191">
        <f t="shared" si="1"/>
        <v>154.65199999999999</v>
      </c>
      <c r="O68" s="192">
        <f t="shared" si="2"/>
        <v>781.49400000000003</v>
      </c>
      <c r="P68" s="192">
        <f t="shared" si="2"/>
        <v>486.20000000000005</v>
      </c>
      <c r="Q68" s="192">
        <f t="shared" si="3"/>
        <v>7061.054000000001</v>
      </c>
      <c r="R68" s="192">
        <f t="shared" si="4"/>
        <v>7547.2540000000008</v>
      </c>
      <c r="S68" s="192">
        <f t="shared" si="5"/>
        <v>8023.2049999999999</v>
      </c>
      <c r="U68" s="350"/>
    </row>
    <row r="69" spans="1:21" ht="24.95" customHeight="1">
      <c r="A69" s="193" t="s">
        <v>94</v>
      </c>
      <c r="B69" s="194" t="s">
        <v>381</v>
      </c>
      <c r="C69" s="195" t="s">
        <v>221</v>
      </c>
      <c r="D69" s="190">
        <v>94420</v>
      </c>
      <c r="E69" s="190">
        <v>3183</v>
      </c>
      <c r="F69" s="190">
        <v>16842</v>
      </c>
      <c r="G69" s="190">
        <v>3581</v>
      </c>
      <c r="H69" s="190">
        <v>53298</v>
      </c>
      <c r="I69" s="190">
        <v>17516</v>
      </c>
      <c r="J69" s="190">
        <f t="shared" si="0"/>
        <v>73721</v>
      </c>
      <c r="K69" s="329">
        <v>4.2999999999999997E-2</v>
      </c>
      <c r="L69" s="329">
        <v>0.14699999999999999</v>
      </c>
      <c r="M69" s="330">
        <v>0.11800000000000001</v>
      </c>
      <c r="N69" s="191">
        <f t="shared" si="1"/>
        <v>136.869</v>
      </c>
      <c r="O69" s="192">
        <f t="shared" si="2"/>
        <v>724.2059999999999</v>
      </c>
      <c r="P69" s="192">
        <f t="shared" si="2"/>
        <v>526.40699999999993</v>
      </c>
      <c r="Q69" s="192">
        <f t="shared" si="3"/>
        <v>7834.8059999999996</v>
      </c>
      <c r="R69" s="192">
        <f t="shared" si="4"/>
        <v>8361.2129999999997</v>
      </c>
      <c r="S69" s="192">
        <f t="shared" si="5"/>
        <v>8699.0780000000013</v>
      </c>
      <c r="U69" s="350"/>
    </row>
    <row r="70" spans="1:21" ht="24.95" customHeight="1">
      <c r="A70" s="193" t="s">
        <v>66</v>
      </c>
      <c r="B70" s="194" t="s">
        <v>381</v>
      </c>
      <c r="C70" s="195" t="s">
        <v>221</v>
      </c>
      <c r="D70" s="190">
        <v>230919</v>
      </c>
      <c r="E70" s="190">
        <v>6936</v>
      </c>
      <c r="F70" s="190">
        <v>36128</v>
      </c>
      <c r="G70" s="190">
        <v>12093</v>
      </c>
      <c r="H70" s="190">
        <v>136133</v>
      </c>
      <c r="I70" s="190">
        <v>39629</v>
      </c>
      <c r="J70" s="190">
        <f t="shared" ref="J70:J105" si="6">SUM(F70:H70)</f>
        <v>184354</v>
      </c>
      <c r="K70" s="329">
        <v>4.0999999999999995E-2</v>
      </c>
      <c r="L70" s="329">
        <v>0.13100000000000001</v>
      </c>
      <c r="M70" s="330">
        <v>0.109</v>
      </c>
      <c r="N70" s="191">
        <f t="shared" si="1"/>
        <v>284.37599999999998</v>
      </c>
      <c r="O70" s="192">
        <f t="shared" si="2"/>
        <v>1481.2479999999998</v>
      </c>
      <c r="P70" s="192">
        <f t="shared" si="2"/>
        <v>1584.183</v>
      </c>
      <c r="Q70" s="192">
        <f t="shared" si="3"/>
        <v>17833.423000000003</v>
      </c>
      <c r="R70" s="192">
        <f t="shared" si="4"/>
        <v>19417.606000000003</v>
      </c>
      <c r="S70" s="192">
        <f t="shared" si="5"/>
        <v>20094.585999999999</v>
      </c>
      <c r="U70" s="350"/>
    </row>
    <row r="71" spans="1:21" ht="24.95" customHeight="1">
      <c r="A71" s="193" t="s">
        <v>81</v>
      </c>
      <c r="B71" s="194" t="s">
        <v>381</v>
      </c>
      <c r="C71" s="195" t="s">
        <v>222</v>
      </c>
      <c r="D71" s="190">
        <v>20470</v>
      </c>
      <c r="E71" s="190">
        <v>608</v>
      </c>
      <c r="F71" s="190">
        <v>3211</v>
      </c>
      <c r="G71" s="190">
        <v>545</v>
      </c>
      <c r="H71" s="190">
        <v>11337</v>
      </c>
      <c r="I71" s="190">
        <v>4769</v>
      </c>
      <c r="J71" s="190">
        <f t="shared" si="6"/>
        <v>15093</v>
      </c>
      <c r="K71" s="329">
        <v>4.4000000000000004E-2</v>
      </c>
      <c r="L71" s="329">
        <v>0.14599999999999999</v>
      </c>
      <c r="M71" s="330">
        <v>0.12</v>
      </c>
      <c r="N71" s="191">
        <f t="shared" ref="N71:N105" si="7">E71*K71</f>
        <v>26.752000000000002</v>
      </c>
      <c r="O71" s="192">
        <f t="shared" ref="O71:P105" si="8">F71*K71</f>
        <v>141.28400000000002</v>
      </c>
      <c r="P71" s="192">
        <f t="shared" si="8"/>
        <v>79.569999999999993</v>
      </c>
      <c r="Q71" s="192">
        <f t="shared" ref="Q71:Q105" si="9">H71*L71</f>
        <v>1655.202</v>
      </c>
      <c r="R71" s="192">
        <f t="shared" ref="R71:R105" si="10">SUM(P71:Q71)</f>
        <v>1734.7719999999999</v>
      </c>
      <c r="S71" s="192">
        <f t="shared" ref="S71:S105" si="11">J71*M71</f>
        <v>1811.1599999999999</v>
      </c>
      <c r="U71" s="350"/>
    </row>
    <row r="72" spans="1:21" ht="24.95" customHeight="1">
      <c r="A72" s="193" t="s">
        <v>67</v>
      </c>
      <c r="B72" s="194" t="s">
        <v>381</v>
      </c>
      <c r="C72" s="195" t="s">
        <v>221</v>
      </c>
      <c r="D72" s="190">
        <v>197455</v>
      </c>
      <c r="E72" s="190">
        <v>11425</v>
      </c>
      <c r="F72" s="190">
        <v>47194</v>
      </c>
      <c r="G72" s="190">
        <v>15113</v>
      </c>
      <c r="H72" s="190">
        <v>105145</v>
      </c>
      <c r="I72" s="190">
        <v>18578</v>
      </c>
      <c r="J72" s="190">
        <f t="shared" si="6"/>
        <v>167452</v>
      </c>
      <c r="K72" s="329">
        <v>3.1E-2</v>
      </c>
      <c r="L72" s="329">
        <v>0.125</v>
      </c>
      <c r="M72" s="330">
        <v>9.6000000000000002E-2</v>
      </c>
      <c r="N72" s="191">
        <f t="shared" si="7"/>
        <v>354.17500000000001</v>
      </c>
      <c r="O72" s="192">
        <f t="shared" si="8"/>
        <v>1463.0139999999999</v>
      </c>
      <c r="P72" s="192">
        <f t="shared" si="8"/>
        <v>1889.125</v>
      </c>
      <c r="Q72" s="192">
        <f t="shared" si="9"/>
        <v>13143.125</v>
      </c>
      <c r="R72" s="192">
        <f t="shared" si="10"/>
        <v>15032.25</v>
      </c>
      <c r="S72" s="192">
        <f t="shared" si="11"/>
        <v>16075.392</v>
      </c>
      <c r="U72" s="350"/>
    </row>
    <row r="73" spans="1:21" ht="24.95" customHeight="1">
      <c r="A73" s="193" t="s">
        <v>53</v>
      </c>
      <c r="B73" s="194" t="s">
        <v>14</v>
      </c>
      <c r="C73" s="195" t="s">
        <v>221</v>
      </c>
      <c r="D73" s="190">
        <v>143873</v>
      </c>
      <c r="E73" s="190">
        <v>3651</v>
      </c>
      <c r="F73" s="190">
        <v>22650</v>
      </c>
      <c r="G73" s="190">
        <v>12218</v>
      </c>
      <c r="H73" s="190">
        <v>85059</v>
      </c>
      <c r="I73" s="190">
        <v>20295</v>
      </c>
      <c r="J73" s="190">
        <f t="shared" si="6"/>
        <v>119927</v>
      </c>
      <c r="K73" s="329">
        <v>5.0999999999999997E-2</v>
      </c>
      <c r="L73" s="329">
        <v>0.12</v>
      </c>
      <c r="M73" s="330">
        <v>0.10199999999999999</v>
      </c>
      <c r="N73" s="191">
        <f t="shared" si="7"/>
        <v>186.20099999999999</v>
      </c>
      <c r="O73" s="192">
        <f t="shared" si="8"/>
        <v>1155.1499999999999</v>
      </c>
      <c r="P73" s="192">
        <f t="shared" si="8"/>
        <v>1466.1599999999999</v>
      </c>
      <c r="Q73" s="192">
        <f t="shared" si="9"/>
        <v>10207.08</v>
      </c>
      <c r="R73" s="192">
        <f t="shared" si="10"/>
        <v>11673.24</v>
      </c>
      <c r="S73" s="192">
        <f t="shared" si="11"/>
        <v>12232.554</v>
      </c>
      <c r="U73" s="350"/>
    </row>
    <row r="74" spans="1:21" ht="24.95" customHeight="1">
      <c r="A74" s="193" t="s">
        <v>82</v>
      </c>
      <c r="B74" s="194" t="s">
        <v>381</v>
      </c>
      <c r="C74" s="195" t="s">
        <v>221</v>
      </c>
      <c r="D74" s="190">
        <v>13288</v>
      </c>
      <c r="E74" s="190">
        <v>309</v>
      </c>
      <c r="F74" s="190">
        <v>1734</v>
      </c>
      <c r="G74" s="190">
        <v>332</v>
      </c>
      <c r="H74" s="190">
        <v>7122</v>
      </c>
      <c r="I74" s="190">
        <v>3791</v>
      </c>
      <c r="J74" s="190">
        <f t="shared" si="6"/>
        <v>9188</v>
      </c>
      <c r="K74" s="329">
        <v>6.0999999999999999E-2</v>
      </c>
      <c r="L74" s="329">
        <v>0.156</v>
      </c>
      <c r="M74" s="330">
        <v>0.13400000000000001</v>
      </c>
      <c r="N74" s="191">
        <f t="shared" si="7"/>
        <v>18.849</v>
      </c>
      <c r="O74" s="192">
        <f t="shared" si="8"/>
        <v>105.774</v>
      </c>
      <c r="P74" s="192">
        <f t="shared" si="8"/>
        <v>51.792000000000002</v>
      </c>
      <c r="Q74" s="192">
        <f t="shared" si="9"/>
        <v>1111.0319999999999</v>
      </c>
      <c r="R74" s="192">
        <f t="shared" si="10"/>
        <v>1162.8239999999998</v>
      </c>
      <c r="S74" s="192">
        <f t="shared" si="11"/>
        <v>1231.192</v>
      </c>
      <c r="U74" s="350"/>
    </row>
    <row r="75" spans="1:21" ht="24.95" customHeight="1">
      <c r="A75" s="193" t="s">
        <v>83</v>
      </c>
      <c r="B75" s="194" t="s">
        <v>381</v>
      </c>
      <c r="C75" s="195" t="s">
        <v>222</v>
      </c>
      <c r="D75" s="190">
        <v>40805</v>
      </c>
      <c r="E75" s="190">
        <v>1476</v>
      </c>
      <c r="F75" s="190">
        <v>7812</v>
      </c>
      <c r="G75" s="190">
        <v>2465</v>
      </c>
      <c r="H75" s="190">
        <v>22726</v>
      </c>
      <c r="I75" s="190">
        <v>6326</v>
      </c>
      <c r="J75" s="190">
        <f t="shared" si="6"/>
        <v>33003</v>
      </c>
      <c r="K75" s="329">
        <v>0.04</v>
      </c>
      <c r="L75" s="329">
        <v>0.151</v>
      </c>
      <c r="M75" s="330">
        <v>0.12</v>
      </c>
      <c r="N75" s="191">
        <f t="shared" si="7"/>
        <v>59.04</v>
      </c>
      <c r="O75" s="192">
        <f t="shared" si="8"/>
        <v>312.48</v>
      </c>
      <c r="P75" s="192">
        <f t="shared" si="8"/>
        <v>372.21499999999997</v>
      </c>
      <c r="Q75" s="192">
        <f t="shared" si="9"/>
        <v>3431.6259999999997</v>
      </c>
      <c r="R75" s="192">
        <f t="shared" si="10"/>
        <v>3803.8409999999999</v>
      </c>
      <c r="S75" s="192">
        <f t="shared" si="11"/>
        <v>3960.3599999999997</v>
      </c>
      <c r="U75" s="350"/>
    </row>
    <row r="76" spans="1:21" ht="24.95" customHeight="1">
      <c r="A76" s="193" t="s">
        <v>68</v>
      </c>
      <c r="B76" s="194" t="s">
        <v>381</v>
      </c>
      <c r="C76" s="195" t="s">
        <v>221</v>
      </c>
      <c r="D76" s="190">
        <v>62551</v>
      </c>
      <c r="E76" s="190">
        <v>1950</v>
      </c>
      <c r="F76" s="190">
        <v>10932</v>
      </c>
      <c r="G76" s="190">
        <v>2409</v>
      </c>
      <c r="H76" s="190">
        <v>36010</v>
      </c>
      <c r="I76" s="190">
        <v>11250</v>
      </c>
      <c r="J76" s="190">
        <f t="shared" si="6"/>
        <v>49351</v>
      </c>
      <c r="K76" s="329">
        <v>5.4000000000000006E-2</v>
      </c>
      <c r="L76" s="329">
        <v>0.16399999999999998</v>
      </c>
      <c r="M76" s="330">
        <v>0.13400000000000001</v>
      </c>
      <c r="N76" s="191">
        <f t="shared" si="7"/>
        <v>105.30000000000001</v>
      </c>
      <c r="O76" s="192">
        <f t="shared" si="8"/>
        <v>590.32800000000009</v>
      </c>
      <c r="P76" s="192">
        <f t="shared" si="8"/>
        <v>395.07599999999996</v>
      </c>
      <c r="Q76" s="192">
        <f t="shared" si="9"/>
        <v>5905.6399999999994</v>
      </c>
      <c r="R76" s="192">
        <f t="shared" si="10"/>
        <v>6300.7159999999994</v>
      </c>
      <c r="S76" s="192">
        <f t="shared" si="11"/>
        <v>6613.0340000000006</v>
      </c>
      <c r="U76" s="350"/>
    </row>
    <row r="77" spans="1:21" ht="24.95" customHeight="1">
      <c r="A77" s="193" t="s">
        <v>84</v>
      </c>
      <c r="B77" s="194" t="s">
        <v>381</v>
      </c>
      <c r="C77" s="195" t="s">
        <v>222</v>
      </c>
      <c r="D77" s="190">
        <v>13564</v>
      </c>
      <c r="E77" s="190">
        <v>382</v>
      </c>
      <c r="F77" s="190">
        <v>2145</v>
      </c>
      <c r="G77" s="190">
        <v>414</v>
      </c>
      <c r="H77" s="190">
        <v>6991</v>
      </c>
      <c r="I77" s="190">
        <v>3632</v>
      </c>
      <c r="J77" s="190">
        <f t="shared" si="6"/>
        <v>9550</v>
      </c>
      <c r="K77" s="329">
        <v>5.4000000000000006E-2</v>
      </c>
      <c r="L77" s="329">
        <v>0.14800000000000002</v>
      </c>
      <c r="M77" s="330">
        <v>0.124</v>
      </c>
      <c r="N77" s="191">
        <f t="shared" si="7"/>
        <v>20.628000000000004</v>
      </c>
      <c r="O77" s="192">
        <f t="shared" si="8"/>
        <v>115.83000000000001</v>
      </c>
      <c r="P77" s="192">
        <f t="shared" si="8"/>
        <v>61.272000000000006</v>
      </c>
      <c r="Q77" s="192">
        <f t="shared" si="9"/>
        <v>1034.6680000000001</v>
      </c>
      <c r="R77" s="192">
        <f t="shared" si="10"/>
        <v>1095.94</v>
      </c>
      <c r="S77" s="192">
        <f t="shared" si="11"/>
        <v>1184.2</v>
      </c>
      <c r="U77" s="350"/>
    </row>
    <row r="78" spans="1:21" ht="24.95" customHeight="1">
      <c r="A78" s="193" t="s">
        <v>54</v>
      </c>
      <c r="B78" s="194" t="s">
        <v>14</v>
      </c>
      <c r="C78" s="195" t="s">
        <v>221</v>
      </c>
      <c r="D78" s="190">
        <v>39997</v>
      </c>
      <c r="E78" s="190">
        <v>1308</v>
      </c>
      <c r="F78" s="190">
        <v>7053</v>
      </c>
      <c r="G78" s="190">
        <v>1239</v>
      </c>
      <c r="H78" s="190">
        <v>22697</v>
      </c>
      <c r="I78" s="190">
        <v>7700</v>
      </c>
      <c r="J78" s="190">
        <f t="shared" si="6"/>
        <v>30989</v>
      </c>
      <c r="K78" s="329">
        <v>0.05</v>
      </c>
      <c r="L78" s="329">
        <v>0.153</v>
      </c>
      <c r="M78" s="330">
        <v>0.125</v>
      </c>
      <c r="N78" s="191">
        <f t="shared" si="7"/>
        <v>65.400000000000006</v>
      </c>
      <c r="O78" s="192">
        <f t="shared" si="8"/>
        <v>352.65000000000003</v>
      </c>
      <c r="P78" s="192">
        <f t="shared" si="8"/>
        <v>189.56700000000001</v>
      </c>
      <c r="Q78" s="192">
        <f t="shared" si="9"/>
        <v>3472.6410000000001</v>
      </c>
      <c r="R78" s="192">
        <f t="shared" si="10"/>
        <v>3662.2080000000001</v>
      </c>
      <c r="S78" s="192">
        <f t="shared" si="11"/>
        <v>3873.625</v>
      </c>
      <c r="U78" s="350"/>
    </row>
    <row r="79" spans="1:21" ht="24.95" customHeight="1">
      <c r="A79" s="193" t="s">
        <v>85</v>
      </c>
      <c r="B79" s="194" t="s">
        <v>381</v>
      </c>
      <c r="C79" s="195" t="s">
        <v>221</v>
      </c>
      <c r="D79" s="190">
        <v>176920</v>
      </c>
      <c r="E79" s="190">
        <v>6213</v>
      </c>
      <c r="F79" s="190">
        <v>32553</v>
      </c>
      <c r="G79" s="190">
        <v>14907</v>
      </c>
      <c r="H79" s="190">
        <v>100393</v>
      </c>
      <c r="I79" s="190">
        <v>22854</v>
      </c>
      <c r="J79" s="190">
        <f t="shared" si="6"/>
        <v>147853</v>
      </c>
      <c r="K79" s="329">
        <v>4.0999999999999995E-2</v>
      </c>
      <c r="L79" s="329">
        <v>0.151</v>
      </c>
      <c r="M79" s="330">
        <v>0.12300000000000001</v>
      </c>
      <c r="N79" s="191">
        <f t="shared" si="7"/>
        <v>254.73299999999998</v>
      </c>
      <c r="O79" s="192">
        <f t="shared" si="8"/>
        <v>1334.6729999999998</v>
      </c>
      <c r="P79" s="192">
        <f t="shared" si="8"/>
        <v>2250.9569999999999</v>
      </c>
      <c r="Q79" s="192">
        <f t="shared" si="9"/>
        <v>15159.342999999999</v>
      </c>
      <c r="R79" s="192">
        <f t="shared" si="10"/>
        <v>17410.3</v>
      </c>
      <c r="S79" s="192">
        <f t="shared" si="11"/>
        <v>18185.919000000002</v>
      </c>
      <c r="U79" s="350"/>
    </row>
    <row r="80" spans="1:21" ht="24.95" customHeight="1">
      <c r="A80" s="193" t="s">
        <v>134</v>
      </c>
      <c r="B80" s="194" t="s">
        <v>428</v>
      </c>
      <c r="C80" s="195" t="s">
        <v>222</v>
      </c>
      <c r="D80" s="190">
        <v>21273</v>
      </c>
      <c r="E80" s="190">
        <v>479</v>
      </c>
      <c r="F80" s="190">
        <v>2932</v>
      </c>
      <c r="G80" s="190">
        <v>593</v>
      </c>
      <c r="H80" s="190">
        <v>10962</v>
      </c>
      <c r="I80" s="190">
        <v>6307</v>
      </c>
      <c r="J80" s="190">
        <f t="shared" si="6"/>
        <v>14487</v>
      </c>
      <c r="K80" s="329">
        <v>5.7999999999999996E-2</v>
      </c>
      <c r="L80" s="329">
        <v>0.14400000000000002</v>
      </c>
      <c r="M80" s="330">
        <v>0.124</v>
      </c>
      <c r="N80" s="191">
        <f t="shared" si="7"/>
        <v>27.781999999999996</v>
      </c>
      <c r="O80" s="192">
        <f t="shared" si="8"/>
        <v>170.05599999999998</v>
      </c>
      <c r="P80" s="192">
        <f t="shared" si="8"/>
        <v>85.39200000000001</v>
      </c>
      <c r="Q80" s="192">
        <f t="shared" si="9"/>
        <v>1578.5280000000002</v>
      </c>
      <c r="R80" s="192">
        <f t="shared" si="10"/>
        <v>1663.9200000000003</v>
      </c>
      <c r="S80" s="192">
        <f t="shared" si="11"/>
        <v>1796.3879999999999</v>
      </c>
      <c r="U80" s="350"/>
    </row>
    <row r="81" spans="1:21" ht="24.95" customHeight="1">
      <c r="A81" s="193" t="s">
        <v>116</v>
      </c>
      <c r="B81" s="194" t="s">
        <v>17</v>
      </c>
      <c r="C81" s="195" t="s">
        <v>221</v>
      </c>
      <c r="D81" s="190">
        <v>145633</v>
      </c>
      <c r="E81" s="190">
        <v>4816</v>
      </c>
      <c r="F81" s="190">
        <v>27263</v>
      </c>
      <c r="G81" s="190">
        <v>6113</v>
      </c>
      <c r="H81" s="190">
        <v>82107</v>
      </c>
      <c r="I81" s="190">
        <v>25334</v>
      </c>
      <c r="J81" s="190">
        <f t="shared" si="6"/>
        <v>115483</v>
      </c>
      <c r="K81" s="329">
        <v>5.0999999999999997E-2</v>
      </c>
      <c r="L81" s="329">
        <v>0.193</v>
      </c>
      <c r="M81" s="330">
        <v>0.153</v>
      </c>
      <c r="N81" s="191">
        <f t="shared" si="7"/>
        <v>245.61599999999999</v>
      </c>
      <c r="O81" s="192">
        <f t="shared" si="8"/>
        <v>1390.413</v>
      </c>
      <c r="P81" s="192">
        <f t="shared" si="8"/>
        <v>1179.809</v>
      </c>
      <c r="Q81" s="192">
        <f t="shared" si="9"/>
        <v>15846.651</v>
      </c>
      <c r="R81" s="192">
        <f t="shared" si="10"/>
        <v>17026.46</v>
      </c>
      <c r="S81" s="192">
        <f t="shared" si="11"/>
        <v>17668.899000000001</v>
      </c>
      <c r="U81" s="350"/>
    </row>
    <row r="82" spans="1:21" ht="24.95" customHeight="1">
      <c r="A82" s="193" t="s">
        <v>117</v>
      </c>
      <c r="B82" s="194" t="s">
        <v>17</v>
      </c>
      <c r="C82" s="195" t="s">
        <v>222</v>
      </c>
      <c r="D82" s="190">
        <v>44812</v>
      </c>
      <c r="E82" s="190">
        <v>1562</v>
      </c>
      <c r="F82" s="190">
        <v>8565</v>
      </c>
      <c r="G82" s="190">
        <v>2136</v>
      </c>
      <c r="H82" s="190">
        <v>24618</v>
      </c>
      <c r="I82" s="190">
        <v>7931</v>
      </c>
      <c r="J82" s="190">
        <f t="shared" si="6"/>
        <v>35319</v>
      </c>
      <c r="K82" s="329">
        <v>4.4999999999999998E-2</v>
      </c>
      <c r="L82" s="329">
        <v>0.17300000000000001</v>
      </c>
      <c r="M82" s="330">
        <v>0.13699999999999998</v>
      </c>
      <c r="N82" s="191">
        <f t="shared" si="7"/>
        <v>70.289999999999992</v>
      </c>
      <c r="O82" s="192">
        <f t="shared" si="8"/>
        <v>385.42500000000001</v>
      </c>
      <c r="P82" s="192">
        <f t="shared" si="8"/>
        <v>369.52800000000002</v>
      </c>
      <c r="Q82" s="192">
        <f t="shared" si="9"/>
        <v>4258.9140000000007</v>
      </c>
      <c r="R82" s="192">
        <f t="shared" si="10"/>
        <v>4628.4420000000009</v>
      </c>
      <c r="S82" s="192">
        <f t="shared" si="11"/>
        <v>4838.7029999999995</v>
      </c>
      <c r="U82" s="350"/>
    </row>
    <row r="83" spans="1:21" ht="24.95" customHeight="1">
      <c r="A83" s="193" t="s">
        <v>95</v>
      </c>
      <c r="B83" s="194" t="s">
        <v>15</v>
      </c>
      <c r="C83" s="195" t="s">
        <v>222</v>
      </c>
      <c r="D83" s="190">
        <v>131384</v>
      </c>
      <c r="E83" s="190">
        <v>5067</v>
      </c>
      <c r="F83" s="190">
        <v>26423</v>
      </c>
      <c r="G83" s="190">
        <v>7884</v>
      </c>
      <c r="H83" s="190">
        <v>72415</v>
      </c>
      <c r="I83" s="190">
        <v>19595</v>
      </c>
      <c r="J83" s="190">
        <f t="shared" si="6"/>
        <v>106722</v>
      </c>
      <c r="K83" s="329">
        <v>4.9000000000000002E-2</v>
      </c>
      <c r="L83" s="329">
        <v>0.24299999999999999</v>
      </c>
      <c r="M83" s="330">
        <v>0.184</v>
      </c>
      <c r="N83" s="191">
        <f t="shared" si="7"/>
        <v>248.28300000000002</v>
      </c>
      <c r="O83" s="192">
        <f t="shared" si="8"/>
        <v>1294.7270000000001</v>
      </c>
      <c r="P83" s="192">
        <f t="shared" si="8"/>
        <v>1915.8119999999999</v>
      </c>
      <c r="Q83" s="192">
        <f t="shared" si="9"/>
        <v>17596.845000000001</v>
      </c>
      <c r="R83" s="192">
        <f t="shared" si="10"/>
        <v>19512.656999999999</v>
      </c>
      <c r="S83" s="192">
        <f t="shared" si="11"/>
        <v>19636.847999999998</v>
      </c>
      <c r="U83" s="350"/>
    </row>
    <row r="84" spans="1:21" ht="24.95" customHeight="1">
      <c r="A84" s="193" t="s">
        <v>62</v>
      </c>
      <c r="B84" s="194" t="s">
        <v>14</v>
      </c>
      <c r="C84" s="195" t="s">
        <v>221</v>
      </c>
      <c r="D84" s="190">
        <v>91731</v>
      </c>
      <c r="E84" s="190">
        <v>2926</v>
      </c>
      <c r="F84" s="190">
        <v>15647</v>
      </c>
      <c r="G84" s="190">
        <v>3234</v>
      </c>
      <c r="H84" s="190">
        <v>51733</v>
      </c>
      <c r="I84" s="190">
        <v>18191</v>
      </c>
      <c r="J84" s="190">
        <f t="shared" si="6"/>
        <v>70614</v>
      </c>
      <c r="K84" s="329">
        <v>4.4999999999999998E-2</v>
      </c>
      <c r="L84" s="329">
        <v>0.16699999999999998</v>
      </c>
      <c r="M84" s="330">
        <v>0.13600000000000001</v>
      </c>
      <c r="N84" s="191">
        <f t="shared" si="7"/>
        <v>131.66999999999999</v>
      </c>
      <c r="O84" s="192">
        <f t="shared" si="8"/>
        <v>704.11500000000001</v>
      </c>
      <c r="P84" s="192">
        <f t="shared" si="8"/>
        <v>540.07799999999997</v>
      </c>
      <c r="Q84" s="192">
        <f t="shared" si="9"/>
        <v>8639.4109999999982</v>
      </c>
      <c r="R84" s="192">
        <f t="shared" si="10"/>
        <v>9179.4889999999978</v>
      </c>
      <c r="S84" s="192">
        <f t="shared" si="11"/>
        <v>9603.5040000000008</v>
      </c>
      <c r="U84" s="350"/>
    </row>
    <row r="85" spans="1:21" ht="24.95" customHeight="1">
      <c r="A85" s="193" t="s">
        <v>55</v>
      </c>
      <c r="B85" s="194" t="s">
        <v>14</v>
      </c>
      <c r="C85" s="195" t="s">
        <v>221</v>
      </c>
      <c r="D85" s="190">
        <v>142862</v>
      </c>
      <c r="E85" s="190">
        <v>4833</v>
      </c>
      <c r="F85" s="190">
        <v>27048</v>
      </c>
      <c r="G85" s="190">
        <v>5716</v>
      </c>
      <c r="H85" s="190">
        <v>80676</v>
      </c>
      <c r="I85" s="190">
        <v>24589</v>
      </c>
      <c r="J85" s="190">
        <f t="shared" si="6"/>
        <v>113440</v>
      </c>
      <c r="K85" s="329">
        <v>4.2999999999999997E-2</v>
      </c>
      <c r="L85" s="329">
        <v>0.16</v>
      </c>
      <c r="M85" s="330">
        <v>0.127</v>
      </c>
      <c r="N85" s="191">
        <f t="shared" si="7"/>
        <v>207.81899999999999</v>
      </c>
      <c r="O85" s="192">
        <f t="shared" si="8"/>
        <v>1163.0639999999999</v>
      </c>
      <c r="P85" s="192">
        <f t="shared" si="8"/>
        <v>914.56000000000006</v>
      </c>
      <c r="Q85" s="192">
        <f t="shared" si="9"/>
        <v>12908.16</v>
      </c>
      <c r="R85" s="192">
        <f t="shared" si="10"/>
        <v>13822.72</v>
      </c>
      <c r="S85" s="192">
        <f t="shared" si="11"/>
        <v>14406.880000000001</v>
      </c>
      <c r="U85" s="350"/>
    </row>
    <row r="86" spans="1:21" ht="24.95" customHeight="1">
      <c r="A86" s="193" t="s">
        <v>135</v>
      </c>
      <c r="B86" s="194" t="s">
        <v>428</v>
      </c>
      <c r="C86" s="195" t="s">
        <v>222</v>
      </c>
      <c r="D86" s="190">
        <v>67880</v>
      </c>
      <c r="E86" s="190">
        <v>2156</v>
      </c>
      <c r="F86" s="190">
        <v>11705</v>
      </c>
      <c r="G86" s="190">
        <v>2385</v>
      </c>
      <c r="H86" s="190">
        <v>37461</v>
      </c>
      <c r="I86" s="190">
        <v>14173</v>
      </c>
      <c r="J86" s="190">
        <f t="shared" si="6"/>
        <v>51551</v>
      </c>
      <c r="K86" s="329">
        <v>4.4999999999999998E-2</v>
      </c>
      <c r="L86" s="329">
        <v>0.17399999999999999</v>
      </c>
      <c r="M86" s="330">
        <v>0.13900000000000001</v>
      </c>
      <c r="N86" s="191">
        <f t="shared" si="7"/>
        <v>97.02</v>
      </c>
      <c r="O86" s="192">
        <f t="shared" si="8"/>
        <v>526.72500000000002</v>
      </c>
      <c r="P86" s="192">
        <f t="shared" si="8"/>
        <v>414.98999999999995</v>
      </c>
      <c r="Q86" s="192">
        <f t="shared" si="9"/>
        <v>6518.2139999999999</v>
      </c>
      <c r="R86" s="192">
        <f t="shared" si="10"/>
        <v>6933.2039999999997</v>
      </c>
      <c r="S86" s="192">
        <f t="shared" si="11"/>
        <v>7165.5890000000009</v>
      </c>
      <c r="U86" s="350"/>
    </row>
    <row r="87" spans="1:21" ht="24.95" customHeight="1">
      <c r="A87" s="193" t="s">
        <v>96</v>
      </c>
      <c r="B87" s="194" t="s">
        <v>15</v>
      </c>
      <c r="C87" s="195" t="s">
        <v>222</v>
      </c>
      <c r="D87" s="190">
        <v>62821</v>
      </c>
      <c r="E87" s="190">
        <v>2412</v>
      </c>
      <c r="F87" s="190">
        <v>12890</v>
      </c>
      <c r="G87" s="190">
        <v>2736</v>
      </c>
      <c r="H87" s="190">
        <v>33790</v>
      </c>
      <c r="I87" s="190">
        <v>10993</v>
      </c>
      <c r="J87" s="190">
        <f t="shared" si="6"/>
        <v>49416</v>
      </c>
      <c r="K87" s="329">
        <v>7.0000000000000007E-2</v>
      </c>
      <c r="L87" s="329">
        <v>0.23800000000000002</v>
      </c>
      <c r="M87" s="330">
        <v>0.188</v>
      </c>
      <c r="N87" s="191">
        <f t="shared" si="7"/>
        <v>168.84</v>
      </c>
      <c r="O87" s="192">
        <f t="shared" si="8"/>
        <v>902.30000000000007</v>
      </c>
      <c r="P87" s="192">
        <f t="shared" si="8"/>
        <v>651.16800000000001</v>
      </c>
      <c r="Q87" s="192">
        <f t="shared" si="9"/>
        <v>8042.02</v>
      </c>
      <c r="R87" s="192">
        <f t="shared" si="10"/>
        <v>8693.1880000000001</v>
      </c>
      <c r="S87" s="192">
        <f t="shared" si="11"/>
        <v>9290.2080000000005</v>
      </c>
      <c r="U87" s="350"/>
    </row>
    <row r="88" spans="1:21" ht="24.95" customHeight="1">
      <c r="A88" s="193" t="s">
        <v>97</v>
      </c>
      <c r="B88" s="194" t="s">
        <v>15</v>
      </c>
      <c r="C88" s="195" t="s">
        <v>222</v>
      </c>
      <c r="D88" s="190">
        <v>35598</v>
      </c>
      <c r="E88" s="190">
        <v>1384</v>
      </c>
      <c r="F88" s="190">
        <v>6923</v>
      </c>
      <c r="G88" s="190">
        <v>1356</v>
      </c>
      <c r="H88" s="190">
        <v>19520</v>
      </c>
      <c r="I88" s="190">
        <v>6415</v>
      </c>
      <c r="J88" s="190">
        <f t="shared" si="6"/>
        <v>27799</v>
      </c>
      <c r="K88" s="329">
        <v>4.2000000000000003E-2</v>
      </c>
      <c r="L88" s="329">
        <v>0.17399999999999999</v>
      </c>
      <c r="M88" s="330">
        <v>0.13400000000000001</v>
      </c>
      <c r="N88" s="191">
        <f t="shared" si="7"/>
        <v>58.128</v>
      </c>
      <c r="O88" s="192">
        <f t="shared" si="8"/>
        <v>290.76600000000002</v>
      </c>
      <c r="P88" s="192">
        <f t="shared" si="8"/>
        <v>235.94399999999999</v>
      </c>
      <c r="Q88" s="192">
        <f t="shared" si="9"/>
        <v>3396.4799999999996</v>
      </c>
      <c r="R88" s="192">
        <f t="shared" si="10"/>
        <v>3632.4239999999995</v>
      </c>
      <c r="S88" s="192">
        <f t="shared" si="11"/>
        <v>3725.0660000000003</v>
      </c>
      <c r="U88" s="350"/>
    </row>
    <row r="89" spans="1:21" ht="24.95" customHeight="1">
      <c r="A89" s="193" t="s">
        <v>56</v>
      </c>
      <c r="B89" s="194" t="s">
        <v>14</v>
      </c>
      <c r="C89" s="195" t="s">
        <v>222</v>
      </c>
      <c r="D89" s="190">
        <v>63069</v>
      </c>
      <c r="E89" s="190">
        <v>2055</v>
      </c>
      <c r="F89" s="190">
        <v>11143</v>
      </c>
      <c r="G89" s="190">
        <v>2385</v>
      </c>
      <c r="H89" s="190">
        <v>35554</v>
      </c>
      <c r="I89" s="190">
        <v>11932</v>
      </c>
      <c r="J89" s="190">
        <f t="shared" si="6"/>
        <v>49082</v>
      </c>
      <c r="K89" s="329">
        <v>4.5999999999999999E-2</v>
      </c>
      <c r="L89" s="329">
        <v>0.14899999999999999</v>
      </c>
      <c r="M89" s="330">
        <v>0.12</v>
      </c>
      <c r="N89" s="191">
        <f t="shared" si="7"/>
        <v>94.53</v>
      </c>
      <c r="O89" s="192">
        <f t="shared" si="8"/>
        <v>512.57799999999997</v>
      </c>
      <c r="P89" s="192">
        <f t="shared" si="8"/>
        <v>355.36500000000001</v>
      </c>
      <c r="Q89" s="192">
        <f t="shared" si="9"/>
        <v>5297.5459999999994</v>
      </c>
      <c r="R89" s="192">
        <f t="shared" si="10"/>
        <v>5652.9109999999991</v>
      </c>
      <c r="S89" s="192">
        <f t="shared" si="11"/>
        <v>5889.84</v>
      </c>
      <c r="U89" s="350"/>
    </row>
    <row r="90" spans="1:21" ht="24.95" customHeight="1">
      <c r="A90" s="193" t="s">
        <v>63</v>
      </c>
      <c r="B90" s="194" t="s">
        <v>14</v>
      </c>
      <c r="C90" s="195" t="s">
        <v>221</v>
      </c>
      <c r="D90" s="190">
        <v>46708</v>
      </c>
      <c r="E90" s="190">
        <v>1291</v>
      </c>
      <c r="F90" s="190">
        <v>7307</v>
      </c>
      <c r="G90" s="190">
        <v>1456</v>
      </c>
      <c r="H90" s="190">
        <v>27246</v>
      </c>
      <c r="I90" s="190">
        <v>9408</v>
      </c>
      <c r="J90" s="190">
        <f t="shared" si="6"/>
        <v>36009</v>
      </c>
      <c r="K90" s="329">
        <v>4.5999999999999999E-2</v>
      </c>
      <c r="L90" s="329">
        <v>0.14000000000000001</v>
      </c>
      <c r="M90" s="330">
        <v>0.11699999999999999</v>
      </c>
      <c r="N90" s="191">
        <f t="shared" si="7"/>
        <v>59.385999999999996</v>
      </c>
      <c r="O90" s="192">
        <f t="shared" si="8"/>
        <v>336.12200000000001</v>
      </c>
      <c r="P90" s="192">
        <f t="shared" si="8"/>
        <v>203.84000000000003</v>
      </c>
      <c r="Q90" s="192">
        <f t="shared" si="9"/>
        <v>3814.4400000000005</v>
      </c>
      <c r="R90" s="192">
        <f t="shared" si="10"/>
        <v>4018.2800000000007</v>
      </c>
      <c r="S90" s="192">
        <f t="shared" si="11"/>
        <v>4213.0529999999999</v>
      </c>
      <c r="U90" s="350"/>
    </row>
    <row r="91" spans="1:21" ht="24.95" customHeight="1">
      <c r="A91" s="193" t="s">
        <v>107</v>
      </c>
      <c r="B91" s="194" t="s">
        <v>16</v>
      </c>
      <c r="C91" s="195" t="s">
        <v>222</v>
      </c>
      <c r="D91" s="190">
        <v>72844</v>
      </c>
      <c r="E91" s="190">
        <v>2250</v>
      </c>
      <c r="F91" s="190">
        <v>12822</v>
      </c>
      <c r="G91" s="190">
        <v>3029</v>
      </c>
      <c r="H91" s="190">
        <v>40464</v>
      </c>
      <c r="I91" s="190">
        <v>14279</v>
      </c>
      <c r="J91" s="190">
        <f t="shared" si="6"/>
        <v>56315</v>
      </c>
      <c r="K91" s="329">
        <v>5.0999999999999997E-2</v>
      </c>
      <c r="L91" s="329">
        <v>0.187</v>
      </c>
      <c r="M91" s="330">
        <v>0.15</v>
      </c>
      <c r="N91" s="191">
        <f t="shared" si="7"/>
        <v>114.74999999999999</v>
      </c>
      <c r="O91" s="192">
        <f t="shared" si="8"/>
        <v>653.92199999999991</v>
      </c>
      <c r="P91" s="192">
        <f t="shared" si="8"/>
        <v>566.423</v>
      </c>
      <c r="Q91" s="192">
        <f t="shared" si="9"/>
        <v>7566.768</v>
      </c>
      <c r="R91" s="192">
        <f t="shared" si="10"/>
        <v>8133.1909999999998</v>
      </c>
      <c r="S91" s="192">
        <f t="shared" si="11"/>
        <v>8447.25</v>
      </c>
      <c r="U91" s="350"/>
    </row>
    <row r="92" spans="1:21" ht="24.95" customHeight="1">
      <c r="A92" s="193" t="s">
        <v>136</v>
      </c>
      <c r="B92" s="194" t="s">
        <v>428</v>
      </c>
      <c r="C92" s="195" t="s">
        <v>222</v>
      </c>
      <c r="D92" s="190">
        <v>15142</v>
      </c>
      <c r="E92" s="190">
        <v>620</v>
      </c>
      <c r="F92" s="190">
        <v>2928</v>
      </c>
      <c r="G92" s="190">
        <v>502</v>
      </c>
      <c r="H92" s="190">
        <v>8132</v>
      </c>
      <c r="I92" s="190">
        <v>2960</v>
      </c>
      <c r="J92" s="190">
        <f t="shared" si="6"/>
        <v>11562</v>
      </c>
      <c r="K92" s="329">
        <v>7.8E-2</v>
      </c>
      <c r="L92" s="329">
        <v>0.221</v>
      </c>
      <c r="M92" s="330">
        <v>0.18100000000000002</v>
      </c>
      <c r="N92" s="191">
        <f t="shared" si="7"/>
        <v>48.36</v>
      </c>
      <c r="O92" s="192">
        <f t="shared" si="8"/>
        <v>228.38399999999999</v>
      </c>
      <c r="P92" s="192">
        <f t="shared" si="8"/>
        <v>110.94200000000001</v>
      </c>
      <c r="Q92" s="192">
        <f t="shared" si="9"/>
        <v>1797.172</v>
      </c>
      <c r="R92" s="192">
        <f t="shared" si="10"/>
        <v>1908.114</v>
      </c>
      <c r="S92" s="192">
        <f t="shared" si="11"/>
        <v>2092.7220000000002</v>
      </c>
      <c r="U92" s="350"/>
    </row>
    <row r="93" spans="1:21" ht="24.95" customHeight="1">
      <c r="A93" s="193" t="s">
        <v>137</v>
      </c>
      <c r="B93" s="194" t="s">
        <v>428</v>
      </c>
      <c r="C93" s="195" t="s">
        <v>222</v>
      </c>
      <c r="D93" s="190">
        <v>34814</v>
      </c>
      <c r="E93" s="190">
        <v>900</v>
      </c>
      <c r="F93" s="190">
        <v>4771</v>
      </c>
      <c r="G93" s="190">
        <v>1331</v>
      </c>
      <c r="H93" s="190">
        <v>16978</v>
      </c>
      <c r="I93" s="190">
        <v>10834</v>
      </c>
      <c r="J93" s="190">
        <f t="shared" si="6"/>
        <v>23080</v>
      </c>
      <c r="K93" s="329">
        <v>5.5E-2</v>
      </c>
      <c r="L93" s="329">
        <v>0.16500000000000001</v>
      </c>
      <c r="M93" s="330">
        <v>0.14000000000000001</v>
      </c>
      <c r="N93" s="191">
        <f t="shared" si="7"/>
        <v>49.5</v>
      </c>
      <c r="O93" s="192">
        <f t="shared" si="8"/>
        <v>262.40500000000003</v>
      </c>
      <c r="P93" s="192">
        <f t="shared" si="8"/>
        <v>219.61500000000001</v>
      </c>
      <c r="Q93" s="192">
        <f t="shared" si="9"/>
        <v>2801.3700000000003</v>
      </c>
      <c r="R93" s="192">
        <f t="shared" si="10"/>
        <v>3020.9850000000006</v>
      </c>
      <c r="S93" s="192">
        <f t="shared" si="11"/>
        <v>3231.2000000000003</v>
      </c>
      <c r="U93" s="350"/>
    </row>
    <row r="94" spans="1:21" ht="24.95" customHeight="1">
      <c r="A94" s="193" t="s">
        <v>86</v>
      </c>
      <c r="B94" s="194" t="s">
        <v>381</v>
      </c>
      <c r="C94" s="195" t="s">
        <v>222</v>
      </c>
      <c r="D94" s="190">
        <v>4137</v>
      </c>
      <c r="E94" s="190">
        <v>133</v>
      </c>
      <c r="F94" s="190">
        <v>632</v>
      </c>
      <c r="G94" s="190">
        <v>123</v>
      </c>
      <c r="H94" s="190">
        <v>2430</v>
      </c>
      <c r="I94" s="190">
        <v>819</v>
      </c>
      <c r="J94" s="190">
        <f t="shared" si="6"/>
        <v>3185</v>
      </c>
      <c r="K94" s="329">
        <v>6.9000000000000006E-2</v>
      </c>
      <c r="L94" s="329">
        <v>0.215</v>
      </c>
      <c r="M94" s="330">
        <v>0.17399999999999999</v>
      </c>
      <c r="N94" s="191">
        <f t="shared" si="7"/>
        <v>9.1770000000000014</v>
      </c>
      <c r="O94" s="192">
        <f t="shared" si="8"/>
        <v>43.608000000000004</v>
      </c>
      <c r="P94" s="192">
        <f t="shared" si="8"/>
        <v>26.445</v>
      </c>
      <c r="Q94" s="192">
        <f t="shared" si="9"/>
        <v>522.45000000000005</v>
      </c>
      <c r="R94" s="192">
        <f t="shared" si="10"/>
        <v>548.8950000000001</v>
      </c>
      <c r="S94" s="192">
        <f t="shared" si="11"/>
        <v>554.18999999999994</v>
      </c>
      <c r="U94" s="350"/>
    </row>
    <row r="95" spans="1:21" ht="24.95" customHeight="1">
      <c r="A95" s="193" t="s">
        <v>57</v>
      </c>
      <c r="B95" s="194" t="s">
        <v>14</v>
      </c>
      <c r="C95" s="195" t="s">
        <v>221</v>
      </c>
      <c r="D95" s="190">
        <v>232425</v>
      </c>
      <c r="E95" s="190">
        <v>8108</v>
      </c>
      <c r="F95" s="190">
        <v>49688</v>
      </c>
      <c r="G95" s="190">
        <v>10799</v>
      </c>
      <c r="H95" s="190">
        <v>134257</v>
      </c>
      <c r="I95" s="190">
        <v>29573</v>
      </c>
      <c r="J95" s="190">
        <f t="shared" si="6"/>
        <v>194744</v>
      </c>
      <c r="K95" s="329">
        <v>3.6000000000000004E-2</v>
      </c>
      <c r="L95" s="329">
        <v>0.129</v>
      </c>
      <c r="M95" s="330">
        <v>9.9000000000000005E-2</v>
      </c>
      <c r="N95" s="191">
        <f t="shared" si="7"/>
        <v>291.88800000000003</v>
      </c>
      <c r="O95" s="192">
        <f t="shared" si="8"/>
        <v>1788.7680000000003</v>
      </c>
      <c r="P95" s="192">
        <f t="shared" si="8"/>
        <v>1393.0710000000001</v>
      </c>
      <c r="Q95" s="192">
        <f t="shared" si="9"/>
        <v>17319.153000000002</v>
      </c>
      <c r="R95" s="192">
        <f t="shared" si="10"/>
        <v>18712.224000000002</v>
      </c>
      <c r="S95" s="192">
        <f t="shared" si="11"/>
        <v>19279.656000000003</v>
      </c>
      <c r="U95" s="350"/>
    </row>
    <row r="96" spans="1:21" ht="24.95" customHeight="1">
      <c r="A96" s="193" t="s">
        <v>58</v>
      </c>
      <c r="B96" s="194" t="s">
        <v>14</v>
      </c>
      <c r="C96" s="195" t="s">
        <v>222</v>
      </c>
      <c r="D96" s="190">
        <v>44785</v>
      </c>
      <c r="E96" s="190">
        <v>1660</v>
      </c>
      <c r="F96" s="190">
        <v>8835</v>
      </c>
      <c r="G96" s="190">
        <v>1799</v>
      </c>
      <c r="H96" s="190">
        <v>24485</v>
      </c>
      <c r="I96" s="190">
        <v>8006</v>
      </c>
      <c r="J96" s="190">
        <f t="shared" si="6"/>
        <v>35119</v>
      </c>
      <c r="K96" s="329">
        <v>4.0999999999999995E-2</v>
      </c>
      <c r="L96" s="329">
        <v>0.158</v>
      </c>
      <c r="M96" s="330">
        <v>0.124</v>
      </c>
      <c r="N96" s="191">
        <f t="shared" si="7"/>
        <v>68.059999999999988</v>
      </c>
      <c r="O96" s="192">
        <f t="shared" si="8"/>
        <v>362.23499999999996</v>
      </c>
      <c r="P96" s="192">
        <f t="shared" si="8"/>
        <v>284.24200000000002</v>
      </c>
      <c r="Q96" s="192">
        <f t="shared" si="9"/>
        <v>3868.63</v>
      </c>
      <c r="R96" s="192">
        <f t="shared" si="10"/>
        <v>4152.8720000000003</v>
      </c>
      <c r="S96" s="192">
        <f t="shared" si="11"/>
        <v>4354.7560000000003</v>
      </c>
      <c r="U96" s="350"/>
    </row>
    <row r="97" spans="1:21" ht="24.95" customHeight="1">
      <c r="A97" s="193" t="s">
        <v>44</v>
      </c>
      <c r="B97" s="194" t="s">
        <v>13</v>
      </c>
      <c r="C97" s="195" t="s">
        <v>221</v>
      </c>
      <c r="D97" s="190">
        <v>1071240</v>
      </c>
      <c r="E97" s="190">
        <v>39175</v>
      </c>
      <c r="F97" s="190">
        <v>215774</v>
      </c>
      <c r="G97" s="190">
        <v>44740</v>
      </c>
      <c r="H97" s="190">
        <v>648171</v>
      </c>
      <c r="I97" s="190">
        <v>123380</v>
      </c>
      <c r="J97" s="190">
        <f t="shared" si="6"/>
        <v>908685</v>
      </c>
      <c r="K97" s="329">
        <v>0.04</v>
      </c>
      <c r="L97" s="329">
        <v>0.113</v>
      </c>
      <c r="M97" s="330">
        <v>9.1999999999999998E-2</v>
      </c>
      <c r="N97" s="191">
        <f t="shared" si="7"/>
        <v>1567</v>
      </c>
      <c r="O97" s="192">
        <f t="shared" si="8"/>
        <v>8630.9600000000009</v>
      </c>
      <c r="P97" s="192">
        <f t="shared" si="8"/>
        <v>5055.62</v>
      </c>
      <c r="Q97" s="192">
        <f t="shared" si="9"/>
        <v>73243.323000000004</v>
      </c>
      <c r="R97" s="192">
        <f t="shared" si="10"/>
        <v>78298.942999999999</v>
      </c>
      <c r="S97" s="192">
        <f t="shared" si="11"/>
        <v>83599.02</v>
      </c>
      <c r="U97" s="350"/>
    </row>
    <row r="98" spans="1:21" ht="24.95" customHeight="1">
      <c r="A98" s="187" t="s">
        <v>59</v>
      </c>
      <c r="B98" s="188" t="s">
        <v>14</v>
      </c>
      <c r="C98" s="189" t="s">
        <v>222</v>
      </c>
      <c r="D98" s="190">
        <v>20068</v>
      </c>
      <c r="E98" s="190">
        <v>578</v>
      </c>
      <c r="F98" s="190">
        <v>3142</v>
      </c>
      <c r="G98" s="190">
        <v>565</v>
      </c>
      <c r="H98" s="190">
        <v>10985</v>
      </c>
      <c r="I98" s="190">
        <v>4798</v>
      </c>
      <c r="J98" s="190">
        <f t="shared" si="6"/>
        <v>14692</v>
      </c>
      <c r="K98" s="329">
        <v>6.7000000000000004E-2</v>
      </c>
      <c r="L98" s="329">
        <v>0.19899999999999998</v>
      </c>
      <c r="M98" s="330">
        <v>0.16600000000000001</v>
      </c>
      <c r="N98" s="191">
        <f t="shared" si="7"/>
        <v>38.725999999999999</v>
      </c>
      <c r="O98" s="192">
        <f t="shared" si="8"/>
        <v>210.51400000000001</v>
      </c>
      <c r="P98" s="192">
        <f t="shared" si="8"/>
        <v>112.43499999999999</v>
      </c>
      <c r="Q98" s="192">
        <f t="shared" si="9"/>
        <v>2186.0149999999999</v>
      </c>
      <c r="R98" s="192">
        <f t="shared" si="10"/>
        <v>2298.4499999999998</v>
      </c>
      <c r="S98" s="192">
        <f t="shared" si="11"/>
        <v>2438.8720000000003</v>
      </c>
      <c r="U98" s="350"/>
    </row>
    <row r="99" spans="1:21" ht="24.95" customHeight="1">
      <c r="A99" s="187" t="s">
        <v>87</v>
      </c>
      <c r="B99" s="188" t="s">
        <v>381</v>
      </c>
      <c r="C99" s="189" t="s">
        <v>222</v>
      </c>
      <c r="D99" s="190">
        <v>12272</v>
      </c>
      <c r="E99" s="190">
        <v>411</v>
      </c>
      <c r="F99" s="190">
        <v>2228</v>
      </c>
      <c r="G99" s="190">
        <v>330</v>
      </c>
      <c r="H99" s="190">
        <v>6394</v>
      </c>
      <c r="I99" s="190">
        <v>2909</v>
      </c>
      <c r="J99" s="190">
        <f t="shared" si="6"/>
        <v>8952</v>
      </c>
      <c r="K99" s="329">
        <v>4.5999999999999999E-2</v>
      </c>
      <c r="L99" s="329">
        <v>0.156</v>
      </c>
      <c r="M99" s="330">
        <v>0.127</v>
      </c>
      <c r="N99" s="191">
        <f t="shared" si="7"/>
        <v>18.905999999999999</v>
      </c>
      <c r="O99" s="192">
        <f t="shared" si="8"/>
        <v>102.488</v>
      </c>
      <c r="P99" s="192">
        <f t="shared" si="8"/>
        <v>51.48</v>
      </c>
      <c r="Q99" s="192">
        <f t="shared" si="9"/>
        <v>997.46399999999994</v>
      </c>
      <c r="R99" s="192">
        <f t="shared" si="10"/>
        <v>1048.944</v>
      </c>
      <c r="S99" s="192">
        <f t="shared" si="11"/>
        <v>1136.904</v>
      </c>
      <c r="U99" s="350"/>
    </row>
    <row r="100" spans="1:21" ht="24.95" customHeight="1">
      <c r="A100" s="187" t="s">
        <v>138</v>
      </c>
      <c r="B100" s="188" t="s">
        <v>428</v>
      </c>
      <c r="C100" s="189" t="s">
        <v>222</v>
      </c>
      <c r="D100" s="190">
        <v>57348</v>
      </c>
      <c r="E100" s="190">
        <v>1161</v>
      </c>
      <c r="F100" s="190">
        <v>6088</v>
      </c>
      <c r="G100" s="190">
        <v>8806</v>
      </c>
      <c r="H100" s="190">
        <v>32114</v>
      </c>
      <c r="I100" s="190">
        <v>9179</v>
      </c>
      <c r="J100" s="190">
        <f t="shared" si="6"/>
        <v>47008</v>
      </c>
      <c r="K100" s="329">
        <v>6.5000000000000002E-2</v>
      </c>
      <c r="L100" s="329">
        <v>0.14699999999999999</v>
      </c>
      <c r="M100" s="330">
        <v>0.13200000000000001</v>
      </c>
      <c r="N100" s="191">
        <f t="shared" si="7"/>
        <v>75.465000000000003</v>
      </c>
      <c r="O100" s="192">
        <f t="shared" si="8"/>
        <v>395.72</v>
      </c>
      <c r="P100" s="192">
        <f t="shared" si="8"/>
        <v>1294.482</v>
      </c>
      <c r="Q100" s="192">
        <f t="shared" si="9"/>
        <v>4720.7579999999998</v>
      </c>
      <c r="R100" s="192">
        <f t="shared" si="10"/>
        <v>6015.24</v>
      </c>
      <c r="S100" s="192">
        <f t="shared" si="11"/>
        <v>6205.0560000000005</v>
      </c>
      <c r="U100" s="350"/>
    </row>
    <row r="101" spans="1:21" ht="24.95" customHeight="1">
      <c r="A101" s="187" t="s">
        <v>98</v>
      </c>
      <c r="B101" s="188" t="s">
        <v>15</v>
      </c>
      <c r="C101" s="189" t="s">
        <v>221</v>
      </c>
      <c r="D101" s="190">
        <v>125509</v>
      </c>
      <c r="E101" s="190">
        <v>4947</v>
      </c>
      <c r="F101" s="190">
        <v>25716</v>
      </c>
      <c r="G101" s="190">
        <v>5079</v>
      </c>
      <c r="H101" s="190">
        <v>69648</v>
      </c>
      <c r="I101" s="190">
        <v>20119</v>
      </c>
      <c r="J101" s="190">
        <f t="shared" si="6"/>
        <v>100443</v>
      </c>
      <c r="K101" s="329">
        <v>5.0999999999999997E-2</v>
      </c>
      <c r="L101" s="329">
        <v>0.18600000000000003</v>
      </c>
      <c r="M101" s="330">
        <v>0.14699999999999999</v>
      </c>
      <c r="N101" s="191">
        <f t="shared" si="7"/>
        <v>252.297</v>
      </c>
      <c r="O101" s="192">
        <f t="shared" si="8"/>
        <v>1311.5159999999998</v>
      </c>
      <c r="P101" s="192">
        <f t="shared" si="8"/>
        <v>944.69400000000019</v>
      </c>
      <c r="Q101" s="192">
        <f t="shared" si="9"/>
        <v>12954.528000000002</v>
      </c>
      <c r="R101" s="192">
        <f t="shared" si="10"/>
        <v>13899.222000000002</v>
      </c>
      <c r="S101" s="192">
        <f t="shared" si="11"/>
        <v>14765.120999999999</v>
      </c>
      <c r="U101" s="350"/>
    </row>
    <row r="102" spans="1:21" ht="24.95" customHeight="1">
      <c r="A102" s="187" t="s">
        <v>139</v>
      </c>
      <c r="B102" s="188" t="s">
        <v>428</v>
      </c>
      <c r="C102" s="189" t="s">
        <v>222</v>
      </c>
      <c r="D102" s="190">
        <v>70883</v>
      </c>
      <c r="E102" s="190">
        <v>2182</v>
      </c>
      <c r="F102" s="190">
        <v>12101</v>
      </c>
      <c r="G102" s="190">
        <v>2532</v>
      </c>
      <c r="H102" s="190">
        <v>39082</v>
      </c>
      <c r="I102" s="190">
        <v>14986</v>
      </c>
      <c r="J102" s="190">
        <f t="shared" si="6"/>
        <v>53715</v>
      </c>
      <c r="K102" s="329">
        <v>4.9000000000000002E-2</v>
      </c>
      <c r="L102" s="329">
        <v>0.185</v>
      </c>
      <c r="M102" s="330">
        <v>0.14899999999999999</v>
      </c>
      <c r="N102" s="191">
        <f t="shared" si="7"/>
        <v>106.91800000000001</v>
      </c>
      <c r="O102" s="192">
        <f t="shared" si="8"/>
        <v>592.94900000000007</v>
      </c>
      <c r="P102" s="192">
        <f t="shared" si="8"/>
        <v>468.42</v>
      </c>
      <c r="Q102" s="192">
        <f t="shared" si="9"/>
        <v>7230.17</v>
      </c>
      <c r="R102" s="192">
        <f t="shared" si="10"/>
        <v>7698.59</v>
      </c>
      <c r="S102" s="192">
        <f t="shared" si="11"/>
        <v>8003.5349999999999</v>
      </c>
      <c r="U102" s="350"/>
    </row>
    <row r="103" spans="1:21" ht="24.95" customHeight="1">
      <c r="A103" s="187" t="s">
        <v>99</v>
      </c>
      <c r="B103" s="188" t="s">
        <v>15</v>
      </c>
      <c r="C103" s="189" t="s">
        <v>222</v>
      </c>
      <c r="D103" s="190">
        <v>82408</v>
      </c>
      <c r="E103" s="190">
        <v>2929</v>
      </c>
      <c r="F103" s="190">
        <v>15832</v>
      </c>
      <c r="G103" s="190">
        <v>3123</v>
      </c>
      <c r="H103" s="190">
        <v>45931</v>
      </c>
      <c r="I103" s="190">
        <v>14593</v>
      </c>
      <c r="J103" s="190">
        <f t="shared" si="6"/>
        <v>64886</v>
      </c>
      <c r="K103" s="329">
        <v>4.4000000000000004E-2</v>
      </c>
      <c r="L103" s="329">
        <v>0.17199999999999999</v>
      </c>
      <c r="M103" s="330">
        <v>0.13600000000000001</v>
      </c>
      <c r="N103" s="191">
        <f t="shared" si="7"/>
        <v>128.876</v>
      </c>
      <c r="O103" s="192">
        <f t="shared" si="8"/>
        <v>696.60800000000006</v>
      </c>
      <c r="P103" s="192">
        <f t="shared" si="8"/>
        <v>537.15599999999995</v>
      </c>
      <c r="Q103" s="192">
        <f t="shared" si="9"/>
        <v>7900.1319999999996</v>
      </c>
      <c r="R103" s="192">
        <f t="shared" si="10"/>
        <v>8437.2880000000005</v>
      </c>
      <c r="S103" s="192">
        <f t="shared" si="11"/>
        <v>8824.496000000001</v>
      </c>
      <c r="U103" s="350"/>
    </row>
    <row r="104" spans="1:21" ht="24.95" customHeight="1">
      <c r="A104" s="187" t="s">
        <v>108</v>
      </c>
      <c r="B104" s="188" t="s">
        <v>16</v>
      </c>
      <c r="C104" s="189" t="s">
        <v>221</v>
      </c>
      <c r="D104" s="190">
        <v>37700</v>
      </c>
      <c r="E104" s="190">
        <v>1206</v>
      </c>
      <c r="F104" s="190">
        <v>6555</v>
      </c>
      <c r="G104" s="190">
        <v>1411</v>
      </c>
      <c r="H104" s="190">
        <v>21207</v>
      </c>
      <c r="I104" s="190">
        <v>7321</v>
      </c>
      <c r="J104" s="190">
        <f t="shared" si="6"/>
        <v>29173</v>
      </c>
      <c r="K104" s="329">
        <v>5.9000000000000004E-2</v>
      </c>
      <c r="L104" s="329">
        <v>0.17499999999999999</v>
      </c>
      <c r="M104" s="330">
        <v>0.14400000000000002</v>
      </c>
      <c r="N104" s="191">
        <f t="shared" si="7"/>
        <v>71.154000000000011</v>
      </c>
      <c r="O104" s="192">
        <f t="shared" si="8"/>
        <v>386.745</v>
      </c>
      <c r="P104" s="192">
        <f t="shared" si="8"/>
        <v>246.92499999999998</v>
      </c>
      <c r="Q104" s="192">
        <f t="shared" si="9"/>
        <v>3711.2249999999999</v>
      </c>
      <c r="R104" s="192">
        <f t="shared" si="10"/>
        <v>3958.15</v>
      </c>
      <c r="S104" s="192">
        <f t="shared" si="11"/>
        <v>4200.9120000000003</v>
      </c>
      <c r="U104" s="350"/>
    </row>
    <row r="105" spans="1:21" ht="24.95" customHeight="1">
      <c r="A105" s="187" t="s">
        <v>140</v>
      </c>
      <c r="B105" s="188" t="s">
        <v>428</v>
      </c>
      <c r="C105" s="189" t="s">
        <v>222</v>
      </c>
      <c r="D105" s="190">
        <v>18254</v>
      </c>
      <c r="E105" s="190">
        <v>534</v>
      </c>
      <c r="F105" s="190">
        <v>2791</v>
      </c>
      <c r="G105" s="190">
        <v>542</v>
      </c>
      <c r="H105" s="190">
        <v>9872</v>
      </c>
      <c r="I105" s="190">
        <v>4515</v>
      </c>
      <c r="J105" s="190">
        <f t="shared" si="6"/>
        <v>13205</v>
      </c>
      <c r="K105" s="329">
        <v>6.2E-2</v>
      </c>
      <c r="L105" s="329">
        <v>0.17100000000000001</v>
      </c>
      <c r="M105" s="331">
        <v>0.14400000000000002</v>
      </c>
      <c r="N105" s="191">
        <f t="shared" si="7"/>
        <v>33.107999999999997</v>
      </c>
      <c r="O105" s="192">
        <f t="shared" si="8"/>
        <v>173.042</v>
      </c>
      <c r="P105" s="192">
        <f t="shared" si="8"/>
        <v>92.682000000000002</v>
      </c>
      <c r="Q105" s="192">
        <f t="shared" si="9"/>
        <v>1688.1120000000001</v>
      </c>
      <c r="R105" s="192">
        <f t="shared" si="10"/>
        <v>1780.7940000000001</v>
      </c>
      <c r="S105" s="192">
        <f t="shared" si="11"/>
        <v>1901.5200000000002</v>
      </c>
      <c r="U105" s="350"/>
    </row>
    <row r="106" spans="1:21" ht="20.100000000000001" customHeight="1">
      <c r="D106" s="197"/>
      <c r="E106" s="197"/>
      <c r="F106" s="197"/>
      <c r="G106" s="197"/>
      <c r="H106" s="197"/>
      <c r="I106" s="198"/>
      <c r="J106" s="198"/>
      <c r="K106" s="332"/>
      <c r="L106" s="332"/>
      <c r="M106" s="333"/>
      <c r="N106" s="199"/>
      <c r="O106" s="199"/>
      <c r="P106" s="199"/>
      <c r="Q106" s="199"/>
      <c r="R106" s="199"/>
      <c r="S106" s="197"/>
      <c r="U106" s="350"/>
    </row>
    <row r="107" spans="1:21" ht="24.95" customHeight="1">
      <c r="A107" s="200" t="s">
        <v>223</v>
      </c>
      <c r="B107" s="182"/>
      <c r="C107" s="183"/>
      <c r="D107" s="201">
        <f t="shared" ref="D107:J107" si="12">SUM(D6:D105)</f>
        <v>10388837</v>
      </c>
      <c r="E107" s="201">
        <f t="shared" si="12"/>
        <v>368404</v>
      </c>
      <c r="F107" s="201">
        <f t="shared" si="12"/>
        <v>1949468</v>
      </c>
      <c r="G107" s="201">
        <f t="shared" si="12"/>
        <v>453439</v>
      </c>
      <c r="H107" s="201">
        <f t="shared" si="12"/>
        <v>5944694</v>
      </c>
      <c r="I107" s="201">
        <f t="shared" si="12"/>
        <v>1672832</v>
      </c>
      <c r="J107" s="201">
        <f t="shared" si="12"/>
        <v>8347601</v>
      </c>
      <c r="K107" s="327">
        <v>4.7E-2</v>
      </c>
      <c r="L107" s="327">
        <v>0.151</v>
      </c>
      <c r="M107" s="327">
        <v>0.122</v>
      </c>
      <c r="N107" s="186">
        <f t="shared" ref="N107:S107" si="13">SUM(N6:N105)</f>
        <v>17108.499999999996</v>
      </c>
      <c r="O107" s="186">
        <f t="shared" si="13"/>
        <v>90661.635000000009</v>
      </c>
      <c r="P107" s="186">
        <f t="shared" si="13"/>
        <v>68570.218000000008</v>
      </c>
      <c r="Q107" s="186">
        <f t="shared" si="13"/>
        <v>899385.22999999986</v>
      </c>
      <c r="R107" s="186">
        <f t="shared" si="13"/>
        <v>967955.44799999974</v>
      </c>
      <c r="S107" s="201">
        <f t="shared" si="13"/>
        <v>1022017.6769999997</v>
      </c>
      <c r="U107" s="351"/>
    </row>
    <row r="108" spans="1:21">
      <c r="N108" s="202">
        <f>N107/E107</f>
        <v>4.6439506628592517E-2</v>
      </c>
      <c r="O108" s="202">
        <f>O107/F107</f>
        <v>4.6505833899299714E-2</v>
      </c>
      <c r="P108" s="202">
        <f>P107/G107</f>
        <v>0.15122258561791113</v>
      </c>
      <c r="Q108" s="202">
        <f>Q107/H107</f>
        <v>0.15129209846629613</v>
      </c>
      <c r="R108" s="202">
        <f>R107/SUM(G107:H107)</f>
        <v>0.15128717205472281</v>
      </c>
      <c r="S108" s="202">
        <f>S107/J107</f>
        <v>0.12243250210449681</v>
      </c>
      <c r="U108" s="202"/>
    </row>
    <row r="109" spans="1:21" ht="20.100000000000001" customHeight="1">
      <c r="A109" s="162" t="s">
        <v>453</v>
      </c>
    </row>
    <row r="110" spans="1:21" ht="39.950000000000003" customHeight="1">
      <c r="A110" s="448" t="s">
        <v>454</v>
      </c>
      <c r="B110" s="445"/>
      <c r="C110" s="445"/>
      <c r="D110" s="445"/>
      <c r="E110" s="445"/>
      <c r="F110" s="445"/>
      <c r="G110" s="445"/>
      <c r="H110" s="445"/>
      <c r="I110" s="445"/>
      <c r="J110" s="445"/>
      <c r="K110" s="445"/>
      <c r="L110" s="445"/>
      <c r="M110" s="445"/>
      <c r="N110" s="445"/>
      <c r="O110" s="445"/>
      <c r="P110" s="445"/>
      <c r="Q110" s="445"/>
      <c r="R110" s="445"/>
      <c r="S110" s="445"/>
    </row>
    <row r="111" spans="1:21" ht="90" customHeight="1">
      <c r="A111" s="449" t="s">
        <v>475</v>
      </c>
      <c r="B111" s="449"/>
      <c r="C111" s="449"/>
      <c r="D111" s="449"/>
      <c r="E111" s="449"/>
      <c r="F111" s="449"/>
      <c r="G111" s="449"/>
      <c r="H111" s="449"/>
      <c r="I111" s="449"/>
      <c r="J111" s="449"/>
      <c r="K111" s="449"/>
      <c r="L111" s="449"/>
      <c r="M111" s="449"/>
      <c r="N111" s="449"/>
      <c r="O111" s="449"/>
      <c r="P111" s="449"/>
      <c r="Q111" s="449"/>
      <c r="R111" s="449"/>
      <c r="S111" s="449"/>
    </row>
  </sheetData>
  <sheetProtection sheet="1" autoFilter="0"/>
  <autoFilter ref="A5:S107" xr:uid="{00000000-0009-0000-0000-000026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238"/>
  <sheetViews>
    <sheetView workbookViewId="0">
      <pane ySplit="4" topLeftCell="A90" activePane="bottomLeft" state="frozen"/>
      <selection activeCell="B12" sqref="B12"/>
      <selection pane="bottomLeft" activeCell="A3" sqref="A3"/>
    </sheetView>
  </sheetViews>
  <sheetFormatPr defaultRowHeight="12.75"/>
  <cols>
    <col min="1" max="1" width="46.5703125" style="354" bestFit="1" customWidth="1"/>
    <col min="2" max="2" width="18.7109375" style="356" customWidth="1"/>
    <col min="3" max="6" width="18.7109375" style="354" customWidth="1"/>
    <col min="7" max="16384" width="9.140625" style="354"/>
  </cols>
  <sheetData>
    <row r="1" spans="1:9" ht="18">
      <c r="A1" s="352" t="s">
        <v>455</v>
      </c>
      <c r="B1" s="353"/>
      <c r="C1" s="353"/>
      <c r="D1" s="353"/>
      <c r="E1" s="353"/>
      <c r="F1" s="353"/>
    </row>
    <row r="2" spans="1:9" ht="25.5">
      <c r="A2" s="334" t="s">
        <v>456</v>
      </c>
      <c r="B2" s="355"/>
      <c r="C2" s="355"/>
      <c r="D2" s="355"/>
      <c r="E2" s="355"/>
      <c r="F2" s="355"/>
    </row>
    <row r="4" spans="1:9" ht="51">
      <c r="A4" s="319" t="s">
        <v>229</v>
      </c>
      <c r="B4" s="335" t="s">
        <v>383</v>
      </c>
      <c r="C4" s="367" t="s">
        <v>384</v>
      </c>
      <c r="D4" s="335" t="s">
        <v>385</v>
      </c>
      <c r="E4" s="367" t="s">
        <v>437</v>
      </c>
      <c r="F4" s="335" t="s">
        <v>438</v>
      </c>
      <c r="H4" s="379" t="s">
        <v>439</v>
      </c>
      <c r="I4" s="379" t="s">
        <v>440</v>
      </c>
    </row>
    <row r="5" spans="1:9" ht="14.25">
      <c r="A5" s="368" t="s">
        <v>13</v>
      </c>
      <c r="B5" s="369">
        <v>16571.845000000001</v>
      </c>
      <c r="C5" s="369">
        <v>10760.49</v>
      </c>
      <c r="D5" s="369">
        <v>146047.81299999999</v>
      </c>
      <c r="E5" s="369">
        <v>156808.30299999999</v>
      </c>
      <c r="F5" s="369">
        <v>167581.35100000002</v>
      </c>
      <c r="G5" s="380"/>
      <c r="H5" s="381">
        <f>SUM(B5,E5)</f>
        <v>173380.14799999999</v>
      </c>
      <c r="I5" s="381">
        <f>H5-F5</f>
        <v>5798.7969999999623</v>
      </c>
    </row>
    <row r="6" spans="1:9" ht="14.25">
      <c r="A6" s="370" t="s">
        <v>41</v>
      </c>
      <c r="B6" s="371">
        <v>2672.2880000000005</v>
      </c>
      <c r="C6" s="371">
        <v>2103.672</v>
      </c>
      <c r="D6" s="371">
        <v>25519.236000000001</v>
      </c>
      <c r="E6" s="371">
        <v>27622.907999999999</v>
      </c>
      <c r="F6" s="371">
        <v>29418.120000000003</v>
      </c>
      <c r="G6" s="380"/>
      <c r="H6" s="380">
        <f>SUM(B6,E6)</f>
        <v>30295.196</v>
      </c>
      <c r="I6" s="380">
        <f>H6-F6</f>
        <v>877.07599999999729</v>
      </c>
    </row>
    <row r="7" spans="1:9" ht="14.25">
      <c r="A7" s="372" t="s">
        <v>42</v>
      </c>
      <c r="B7" s="373">
        <v>3197.808</v>
      </c>
      <c r="C7" s="373">
        <v>2256.5619999999999</v>
      </c>
      <c r="D7" s="373">
        <v>28315.21</v>
      </c>
      <c r="E7" s="373">
        <v>30571.771999999997</v>
      </c>
      <c r="F7" s="373">
        <v>33133.311999999998</v>
      </c>
      <c r="G7" s="380"/>
      <c r="H7" s="380">
        <f>SUM(B7,E7)</f>
        <v>33769.579999999994</v>
      </c>
      <c r="I7" s="380">
        <f>H7-F7</f>
        <v>636.26799999999639</v>
      </c>
    </row>
    <row r="8" spans="1:9" ht="14.25">
      <c r="A8" s="372" t="s">
        <v>43</v>
      </c>
      <c r="B8" s="373">
        <v>2070.7890000000002</v>
      </c>
      <c r="C8" s="373">
        <v>1344.6359999999997</v>
      </c>
      <c r="D8" s="373">
        <v>18970.043999999998</v>
      </c>
      <c r="E8" s="373">
        <v>20314.679999999997</v>
      </c>
      <c r="F8" s="373">
        <v>21430.899000000001</v>
      </c>
      <c r="G8" s="380"/>
      <c r="H8" s="380">
        <f>SUM(B8,E8)</f>
        <v>22385.468999999997</v>
      </c>
      <c r="I8" s="380">
        <f>H8-F8</f>
        <v>954.56999999999607</v>
      </c>
    </row>
    <row r="9" spans="1:9" ht="14.25">
      <c r="A9" s="372" t="s">
        <v>44</v>
      </c>
      <c r="B9" s="373">
        <v>8630.9600000000009</v>
      </c>
      <c r="C9" s="373">
        <v>5055.62</v>
      </c>
      <c r="D9" s="373">
        <v>73243.323000000004</v>
      </c>
      <c r="E9" s="373">
        <v>78298.942999999999</v>
      </c>
      <c r="F9" s="373">
        <v>83599.02</v>
      </c>
      <c r="G9" s="380"/>
      <c r="H9" s="380">
        <f>SUM(B9,E9)</f>
        <v>86929.903000000006</v>
      </c>
      <c r="I9" s="380">
        <f>H9-F9</f>
        <v>3330.8830000000016</v>
      </c>
    </row>
    <row r="10" spans="1:9" ht="14.25">
      <c r="A10" s="374"/>
      <c r="B10" s="375"/>
      <c r="C10" s="375"/>
      <c r="D10" s="375"/>
      <c r="E10" s="375"/>
      <c r="F10" s="375"/>
      <c r="H10" s="380"/>
      <c r="I10" s="380"/>
    </row>
    <row r="11" spans="1:9" ht="14.25">
      <c r="A11" s="368" t="s">
        <v>14</v>
      </c>
      <c r="B11" s="369">
        <v>28948.257000000005</v>
      </c>
      <c r="C11" s="369">
        <v>19061.220999999998</v>
      </c>
      <c r="D11" s="369">
        <v>274686.44</v>
      </c>
      <c r="E11" s="369">
        <v>293747.66100000002</v>
      </c>
      <c r="F11" s="369">
        <v>311096.23000000004</v>
      </c>
      <c r="H11" s="381">
        <f t="shared" ref="H11:H31" si="0">SUM(B11,E11)</f>
        <v>322695.91800000001</v>
      </c>
      <c r="I11" s="381">
        <f t="shared" ref="I11:I31" si="1">H11-F11</f>
        <v>11599.687999999966</v>
      </c>
    </row>
    <row r="12" spans="1:9" ht="14.25">
      <c r="A12" s="370" t="s">
        <v>45</v>
      </c>
      <c r="B12" s="371">
        <v>1474.8510000000001</v>
      </c>
      <c r="C12" s="371">
        <v>1450.4639999999999</v>
      </c>
      <c r="D12" s="371">
        <v>15891.419999999998</v>
      </c>
      <c r="E12" s="371">
        <v>17341.883999999998</v>
      </c>
      <c r="F12" s="371">
        <v>18037.335000000003</v>
      </c>
      <c r="H12" s="380">
        <f t="shared" si="0"/>
        <v>18816.734999999997</v>
      </c>
      <c r="I12" s="380">
        <f t="shared" si="1"/>
        <v>779.39999999999418</v>
      </c>
    </row>
    <row r="13" spans="1:9" ht="14.25">
      <c r="A13" s="372" t="s">
        <v>46</v>
      </c>
      <c r="B13" s="373">
        <v>1799.9409999999998</v>
      </c>
      <c r="C13" s="373">
        <v>1053.7410000000002</v>
      </c>
      <c r="D13" s="373">
        <v>14957.784000000001</v>
      </c>
      <c r="E13" s="373">
        <v>16011.525000000001</v>
      </c>
      <c r="F13" s="373">
        <v>17059.448</v>
      </c>
      <c r="H13" s="380">
        <f t="shared" si="0"/>
        <v>17811.466</v>
      </c>
      <c r="I13" s="380">
        <f t="shared" si="1"/>
        <v>752.01800000000003</v>
      </c>
    </row>
    <row r="14" spans="1:9" ht="14.25">
      <c r="A14" s="372" t="s">
        <v>47</v>
      </c>
      <c r="B14" s="373">
        <v>188.34400000000002</v>
      </c>
      <c r="C14" s="373">
        <v>122.11199999999999</v>
      </c>
      <c r="D14" s="373">
        <v>2193.723</v>
      </c>
      <c r="E14" s="373">
        <v>2315.835</v>
      </c>
      <c r="F14" s="373">
        <v>2400.6840000000002</v>
      </c>
      <c r="H14" s="380">
        <f t="shared" si="0"/>
        <v>2504.1790000000001</v>
      </c>
      <c r="I14" s="380">
        <f t="shared" si="1"/>
        <v>103.49499999999989</v>
      </c>
    </row>
    <row r="15" spans="1:9" ht="14.25">
      <c r="A15" s="372" t="s">
        <v>48</v>
      </c>
      <c r="B15" s="373">
        <v>741.94299999999998</v>
      </c>
      <c r="C15" s="373">
        <v>372.29200000000003</v>
      </c>
      <c r="D15" s="373">
        <v>6571.5079999999998</v>
      </c>
      <c r="E15" s="373">
        <v>6943.8</v>
      </c>
      <c r="F15" s="373">
        <v>7393.0050000000001</v>
      </c>
      <c r="H15" s="380">
        <f t="shared" si="0"/>
        <v>7685.7430000000004</v>
      </c>
      <c r="I15" s="380">
        <f t="shared" si="1"/>
        <v>292.73800000000028</v>
      </c>
    </row>
    <row r="16" spans="1:9" ht="14.25">
      <c r="A16" s="405" t="s">
        <v>49</v>
      </c>
      <c r="B16" s="376">
        <v>1496.999</v>
      </c>
      <c r="C16" s="376">
        <v>984.99800000000005</v>
      </c>
      <c r="D16" s="376">
        <v>15512.35</v>
      </c>
      <c r="E16" s="376">
        <v>16497.348000000002</v>
      </c>
      <c r="F16" s="376">
        <v>17292.47</v>
      </c>
      <c r="H16" s="380">
        <f t="shared" si="0"/>
        <v>17994.347000000002</v>
      </c>
      <c r="I16" s="380">
        <f t="shared" si="1"/>
        <v>701.87700000000041</v>
      </c>
    </row>
    <row r="17" spans="1:9" ht="14.25">
      <c r="A17" s="406" t="s">
        <v>60</v>
      </c>
      <c r="B17" s="377">
        <v>388.54300000000001</v>
      </c>
      <c r="C17" s="377">
        <v>232.887</v>
      </c>
      <c r="D17" s="377">
        <v>3625.915</v>
      </c>
      <c r="E17" s="377">
        <v>3858.8020000000001</v>
      </c>
      <c r="F17" s="377">
        <v>4087.1670000000004</v>
      </c>
      <c r="H17" s="380">
        <f t="shared" si="0"/>
        <v>4247.3450000000003</v>
      </c>
      <c r="I17" s="380">
        <f t="shared" si="1"/>
        <v>160.17799999999988</v>
      </c>
    </row>
    <row r="18" spans="1:9" ht="14.25">
      <c r="A18" s="406" t="s">
        <v>61</v>
      </c>
      <c r="B18" s="377">
        <v>3312.99</v>
      </c>
      <c r="C18" s="377">
        <v>2514.7199999999998</v>
      </c>
      <c r="D18" s="377">
        <v>33370.896000000001</v>
      </c>
      <c r="E18" s="377">
        <v>35885.616000000002</v>
      </c>
      <c r="F18" s="377">
        <v>37653.591999999997</v>
      </c>
      <c r="H18" s="380">
        <f t="shared" si="0"/>
        <v>39198.606</v>
      </c>
      <c r="I18" s="380">
        <f t="shared" si="1"/>
        <v>1545.0140000000029</v>
      </c>
    </row>
    <row r="19" spans="1:9" ht="14.25">
      <c r="A19" s="406" t="s">
        <v>50</v>
      </c>
      <c r="B19" s="377">
        <v>641.37599999999998</v>
      </c>
      <c r="C19" s="377">
        <v>416.82900000000001</v>
      </c>
      <c r="D19" s="377">
        <v>6260.8069999999998</v>
      </c>
      <c r="E19" s="377">
        <v>6677.6359999999995</v>
      </c>
      <c r="F19" s="377">
        <v>7080.8119999999999</v>
      </c>
      <c r="H19" s="380">
        <f t="shared" si="0"/>
        <v>7319.0119999999997</v>
      </c>
      <c r="I19" s="380">
        <f t="shared" si="1"/>
        <v>238.19999999999982</v>
      </c>
    </row>
    <row r="20" spans="1:9" ht="14.25">
      <c r="A20" s="406" t="s">
        <v>51</v>
      </c>
      <c r="B20" s="377">
        <v>423.86400000000003</v>
      </c>
      <c r="C20" s="377">
        <v>387.15</v>
      </c>
      <c r="D20" s="377">
        <v>5225.0749999999998</v>
      </c>
      <c r="E20" s="377">
        <v>5612.2249999999995</v>
      </c>
      <c r="F20" s="377">
        <v>5758.0460000000003</v>
      </c>
      <c r="H20" s="380">
        <f t="shared" si="0"/>
        <v>6036.0889999999999</v>
      </c>
      <c r="I20" s="380">
        <f t="shared" si="1"/>
        <v>278.04299999999967</v>
      </c>
    </row>
    <row r="21" spans="1:9" ht="14.25">
      <c r="A21" s="406" t="s">
        <v>52</v>
      </c>
      <c r="B21" s="377">
        <v>399.03999999999996</v>
      </c>
      <c r="C21" s="377">
        <v>305.988</v>
      </c>
      <c r="D21" s="377">
        <v>4859</v>
      </c>
      <c r="E21" s="377">
        <v>5164.9880000000003</v>
      </c>
      <c r="F21" s="377">
        <v>5385.3329999999996</v>
      </c>
      <c r="H21" s="380">
        <f t="shared" si="0"/>
        <v>5564.0280000000002</v>
      </c>
      <c r="I21" s="380">
        <f t="shared" si="1"/>
        <v>178.69500000000062</v>
      </c>
    </row>
    <row r="22" spans="1:9" ht="14.25">
      <c r="A22" s="406" t="s">
        <v>100</v>
      </c>
      <c r="B22" s="377">
        <v>11495.17</v>
      </c>
      <c r="C22" s="377">
        <v>5760.7219999999998</v>
      </c>
      <c r="D22" s="377">
        <v>98504.885999999999</v>
      </c>
      <c r="E22" s="377">
        <v>104265.60799999999</v>
      </c>
      <c r="F22" s="377">
        <v>112655.598</v>
      </c>
      <c r="H22" s="380">
        <f t="shared" si="0"/>
        <v>115760.77799999999</v>
      </c>
      <c r="I22" s="380">
        <f t="shared" si="1"/>
        <v>3105.179999999993</v>
      </c>
    </row>
    <row r="23" spans="1:9" ht="14.25">
      <c r="A23" s="406" t="s">
        <v>53</v>
      </c>
      <c r="B23" s="377">
        <v>1155.1499999999999</v>
      </c>
      <c r="C23" s="377">
        <v>1466.1599999999999</v>
      </c>
      <c r="D23" s="377">
        <v>10207.08</v>
      </c>
      <c r="E23" s="377">
        <v>11673.24</v>
      </c>
      <c r="F23" s="377">
        <v>12232.554</v>
      </c>
      <c r="H23" s="380">
        <f t="shared" si="0"/>
        <v>12828.39</v>
      </c>
      <c r="I23" s="380">
        <f t="shared" si="1"/>
        <v>595.83599999999933</v>
      </c>
    </row>
    <row r="24" spans="1:9" ht="14.25">
      <c r="A24" s="406" t="s">
        <v>54</v>
      </c>
      <c r="B24" s="377">
        <v>352.65000000000003</v>
      </c>
      <c r="C24" s="377">
        <v>189.56700000000001</v>
      </c>
      <c r="D24" s="377">
        <v>3472.6410000000001</v>
      </c>
      <c r="E24" s="377">
        <v>3662.2080000000001</v>
      </c>
      <c r="F24" s="377">
        <v>3873.625</v>
      </c>
      <c r="H24" s="380">
        <f t="shared" si="0"/>
        <v>4014.8580000000002</v>
      </c>
      <c r="I24" s="380">
        <f t="shared" si="1"/>
        <v>141.23300000000017</v>
      </c>
    </row>
    <row r="25" spans="1:9" ht="14.25">
      <c r="A25" s="406" t="s">
        <v>62</v>
      </c>
      <c r="B25" s="377">
        <v>704.11500000000001</v>
      </c>
      <c r="C25" s="377">
        <v>540.07799999999997</v>
      </c>
      <c r="D25" s="377">
        <v>8639.4109999999982</v>
      </c>
      <c r="E25" s="377">
        <v>9179.4889999999978</v>
      </c>
      <c r="F25" s="377">
        <v>9603.5040000000008</v>
      </c>
      <c r="H25" s="380">
        <f t="shared" si="0"/>
        <v>9883.6039999999975</v>
      </c>
      <c r="I25" s="380">
        <f t="shared" si="1"/>
        <v>280.09999999999673</v>
      </c>
    </row>
    <row r="26" spans="1:9" ht="14.25">
      <c r="A26" s="406" t="s">
        <v>55</v>
      </c>
      <c r="B26" s="377">
        <v>1163.0639999999999</v>
      </c>
      <c r="C26" s="377">
        <v>914.56000000000006</v>
      </c>
      <c r="D26" s="377">
        <v>12908.16</v>
      </c>
      <c r="E26" s="377">
        <v>13822.72</v>
      </c>
      <c r="F26" s="377">
        <v>14406.880000000001</v>
      </c>
      <c r="H26" s="380">
        <f t="shared" si="0"/>
        <v>14985.784</v>
      </c>
      <c r="I26" s="380">
        <f t="shared" si="1"/>
        <v>578.90399999999863</v>
      </c>
    </row>
    <row r="27" spans="1:9" ht="14.25">
      <c r="A27" s="406" t="s">
        <v>56</v>
      </c>
      <c r="B27" s="377">
        <v>512.57799999999997</v>
      </c>
      <c r="C27" s="377">
        <v>355.36500000000001</v>
      </c>
      <c r="D27" s="377">
        <v>5297.5459999999994</v>
      </c>
      <c r="E27" s="377">
        <v>5652.9109999999991</v>
      </c>
      <c r="F27" s="377">
        <v>5889.84</v>
      </c>
      <c r="H27" s="380">
        <f t="shared" si="0"/>
        <v>6165.4889999999996</v>
      </c>
      <c r="I27" s="380">
        <f t="shared" si="1"/>
        <v>275.64899999999943</v>
      </c>
    </row>
    <row r="28" spans="1:9" ht="14.25">
      <c r="A28" s="406" t="s">
        <v>63</v>
      </c>
      <c r="B28" s="377">
        <v>336.12200000000001</v>
      </c>
      <c r="C28" s="377">
        <v>203.84000000000003</v>
      </c>
      <c r="D28" s="377">
        <v>3814.4400000000005</v>
      </c>
      <c r="E28" s="377">
        <v>4018.2800000000007</v>
      </c>
      <c r="F28" s="377">
        <v>4213.0529999999999</v>
      </c>
      <c r="H28" s="380">
        <f t="shared" si="0"/>
        <v>4354.402000000001</v>
      </c>
      <c r="I28" s="380">
        <f t="shared" si="1"/>
        <v>141.34900000000107</v>
      </c>
    </row>
    <row r="29" spans="1:9" ht="14.25">
      <c r="A29" s="406" t="s">
        <v>57</v>
      </c>
      <c r="B29" s="377">
        <v>1788.7680000000003</v>
      </c>
      <c r="C29" s="377">
        <v>1393.0710000000001</v>
      </c>
      <c r="D29" s="377">
        <v>17319.153000000002</v>
      </c>
      <c r="E29" s="377">
        <v>18712.224000000002</v>
      </c>
      <c r="F29" s="377">
        <v>19279.656000000003</v>
      </c>
      <c r="H29" s="380">
        <f t="shared" si="0"/>
        <v>20500.992000000002</v>
      </c>
      <c r="I29" s="380">
        <f t="shared" si="1"/>
        <v>1221.3359999999993</v>
      </c>
    </row>
    <row r="30" spans="1:9" ht="14.25">
      <c r="A30" s="407" t="s">
        <v>58</v>
      </c>
      <c r="B30" s="378">
        <v>362.23499999999996</v>
      </c>
      <c r="C30" s="378">
        <v>284.24200000000002</v>
      </c>
      <c r="D30" s="378">
        <v>3868.63</v>
      </c>
      <c r="E30" s="378">
        <v>4152.8720000000003</v>
      </c>
      <c r="F30" s="378">
        <v>4354.7560000000003</v>
      </c>
      <c r="H30" s="380">
        <f t="shared" si="0"/>
        <v>4515.107</v>
      </c>
      <c r="I30" s="380">
        <f t="shared" si="1"/>
        <v>160.35099999999966</v>
      </c>
    </row>
    <row r="31" spans="1:9" ht="14.25">
      <c r="A31" s="372" t="s">
        <v>59</v>
      </c>
      <c r="B31" s="373">
        <v>210.51400000000001</v>
      </c>
      <c r="C31" s="373">
        <v>112.43499999999999</v>
      </c>
      <c r="D31" s="373">
        <v>2186.0149999999999</v>
      </c>
      <c r="E31" s="373">
        <v>2298.4499999999998</v>
      </c>
      <c r="F31" s="373">
        <v>2438.8720000000003</v>
      </c>
      <c r="H31" s="380">
        <f t="shared" si="0"/>
        <v>2508.9639999999999</v>
      </c>
      <c r="I31" s="380">
        <f t="shared" si="1"/>
        <v>70.091999999999643</v>
      </c>
    </row>
    <row r="32" spans="1:9" ht="14.25">
      <c r="A32" s="374"/>
      <c r="B32" s="375"/>
      <c r="C32" s="375"/>
      <c r="D32" s="375"/>
      <c r="E32" s="375"/>
      <c r="F32" s="375"/>
      <c r="H32" s="380"/>
      <c r="I32" s="380"/>
    </row>
    <row r="33" spans="1:9" ht="14.25">
      <c r="A33" s="368" t="s">
        <v>15</v>
      </c>
      <c r="B33" s="369">
        <v>6875.7249999999995</v>
      </c>
      <c r="C33" s="369">
        <v>6012.5510000000004</v>
      </c>
      <c r="D33" s="369">
        <v>74636.752999999997</v>
      </c>
      <c r="E33" s="369">
        <v>80649.304000000004</v>
      </c>
      <c r="F33" s="369">
        <v>84197.660999999993</v>
      </c>
      <c r="H33" s="381">
        <f t="shared" ref="H33:H43" si="2">SUM(B33,E33)</f>
        <v>87525.02900000001</v>
      </c>
      <c r="I33" s="381">
        <f t="shared" ref="I33:I43" si="3">H33-F33</f>
        <v>3327.3680000000168</v>
      </c>
    </row>
    <row r="34" spans="1:9" ht="14.25">
      <c r="A34" s="370" t="s">
        <v>88</v>
      </c>
      <c r="B34" s="371">
        <v>404.68</v>
      </c>
      <c r="C34" s="371">
        <v>255.73199999999997</v>
      </c>
      <c r="D34" s="371">
        <v>3810.9319999999998</v>
      </c>
      <c r="E34" s="371">
        <v>4066.6639999999998</v>
      </c>
      <c r="F34" s="371">
        <v>4344.5520000000006</v>
      </c>
      <c r="H34" s="380">
        <f t="shared" si="2"/>
        <v>4471.3440000000001</v>
      </c>
      <c r="I34" s="380">
        <f t="shared" si="3"/>
        <v>126.79199999999946</v>
      </c>
    </row>
    <row r="35" spans="1:9" ht="14.25">
      <c r="A35" s="372" t="s">
        <v>90</v>
      </c>
      <c r="B35" s="373">
        <v>904.94999999999993</v>
      </c>
      <c r="C35" s="373">
        <v>615.04300000000001</v>
      </c>
      <c r="D35" s="373">
        <v>8199.4770000000008</v>
      </c>
      <c r="E35" s="373">
        <v>8814.52</v>
      </c>
      <c r="F35" s="373">
        <v>9428.1059999999998</v>
      </c>
      <c r="H35" s="380">
        <f t="shared" si="2"/>
        <v>9719.4700000000012</v>
      </c>
      <c r="I35" s="380">
        <f t="shared" si="3"/>
        <v>291.3640000000014</v>
      </c>
    </row>
    <row r="36" spans="1:9" ht="14.25">
      <c r="A36" s="372" t="s">
        <v>91</v>
      </c>
      <c r="B36" s="373">
        <v>338.94300000000004</v>
      </c>
      <c r="C36" s="373">
        <v>288.44200000000001</v>
      </c>
      <c r="D36" s="373">
        <v>4310.6139999999996</v>
      </c>
      <c r="E36" s="373">
        <v>4599.0559999999996</v>
      </c>
      <c r="F36" s="373">
        <v>4816.2</v>
      </c>
      <c r="H36" s="380">
        <f t="shared" si="2"/>
        <v>4937.9989999999998</v>
      </c>
      <c r="I36" s="380">
        <f t="shared" si="3"/>
        <v>121.79899999999998</v>
      </c>
    </row>
    <row r="37" spans="1:9" ht="14.25">
      <c r="A37" s="372" t="s">
        <v>92</v>
      </c>
      <c r="B37" s="373">
        <v>292.904</v>
      </c>
      <c r="C37" s="373">
        <v>182.70000000000002</v>
      </c>
      <c r="D37" s="373">
        <v>2872.35</v>
      </c>
      <c r="E37" s="373">
        <v>3055.0499999999997</v>
      </c>
      <c r="F37" s="373">
        <v>3172.6239999999998</v>
      </c>
      <c r="H37" s="380">
        <f t="shared" si="2"/>
        <v>3347.9539999999997</v>
      </c>
      <c r="I37" s="380">
        <f t="shared" si="3"/>
        <v>175.32999999999993</v>
      </c>
    </row>
    <row r="38" spans="1:9" ht="14.25">
      <c r="A38" s="372" t="s">
        <v>93</v>
      </c>
      <c r="B38" s="373">
        <v>438.33099999999996</v>
      </c>
      <c r="C38" s="373">
        <v>385.85999999999996</v>
      </c>
      <c r="D38" s="373">
        <v>5553.375</v>
      </c>
      <c r="E38" s="373">
        <v>5939.2349999999997</v>
      </c>
      <c r="F38" s="373">
        <v>6194.4400000000005</v>
      </c>
      <c r="H38" s="380">
        <f t="shared" si="2"/>
        <v>6377.5659999999998</v>
      </c>
      <c r="I38" s="380">
        <f t="shared" si="3"/>
        <v>183.12599999999929</v>
      </c>
    </row>
    <row r="39" spans="1:9" ht="14.25">
      <c r="A39" s="372" t="s">
        <v>95</v>
      </c>
      <c r="B39" s="373">
        <v>1294.7270000000001</v>
      </c>
      <c r="C39" s="373">
        <v>1915.8119999999999</v>
      </c>
      <c r="D39" s="373">
        <v>17596.845000000001</v>
      </c>
      <c r="E39" s="373">
        <v>19512.656999999999</v>
      </c>
      <c r="F39" s="373">
        <v>19636.847999999998</v>
      </c>
      <c r="H39" s="380">
        <f t="shared" si="2"/>
        <v>20807.383999999998</v>
      </c>
      <c r="I39" s="380">
        <f t="shared" si="3"/>
        <v>1170.5360000000001</v>
      </c>
    </row>
    <row r="40" spans="1:9" ht="14.25">
      <c r="A40" s="372" t="s">
        <v>96</v>
      </c>
      <c r="B40" s="373">
        <v>902.30000000000007</v>
      </c>
      <c r="C40" s="373">
        <v>651.16800000000001</v>
      </c>
      <c r="D40" s="373">
        <v>8042.02</v>
      </c>
      <c r="E40" s="373">
        <v>8693.1880000000001</v>
      </c>
      <c r="F40" s="373">
        <v>9290.2080000000005</v>
      </c>
      <c r="H40" s="380">
        <f t="shared" si="2"/>
        <v>9595.4879999999994</v>
      </c>
      <c r="I40" s="380">
        <f t="shared" si="3"/>
        <v>305.27999999999884</v>
      </c>
    </row>
    <row r="41" spans="1:9" ht="14.25">
      <c r="A41" s="372" t="s">
        <v>97</v>
      </c>
      <c r="B41" s="373">
        <v>290.76600000000002</v>
      </c>
      <c r="C41" s="373">
        <v>235.94399999999999</v>
      </c>
      <c r="D41" s="373">
        <v>3396.4799999999996</v>
      </c>
      <c r="E41" s="373">
        <v>3632.4239999999995</v>
      </c>
      <c r="F41" s="373">
        <v>3725.0660000000003</v>
      </c>
      <c r="H41" s="380">
        <f t="shared" si="2"/>
        <v>3923.1899999999996</v>
      </c>
      <c r="I41" s="380">
        <f t="shared" si="3"/>
        <v>198.12399999999934</v>
      </c>
    </row>
    <row r="42" spans="1:9" ht="14.25">
      <c r="A42" s="372" t="s">
        <v>98</v>
      </c>
      <c r="B42" s="373">
        <v>1311.5159999999998</v>
      </c>
      <c r="C42" s="373">
        <v>944.69400000000019</v>
      </c>
      <c r="D42" s="373">
        <v>12954.528000000002</v>
      </c>
      <c r="E42" s="373">
        <v>13899.222000000002</v>
      </c>
      <c r="F42" s="373">
        <v>14765.120999999999</v>
      </c>
      <c r="H42" s="380">
        <f t="shared" si="2"/>
        <v>15210.738000000001</v>
      </c>
      <c r="I42" s="380">
        <f t="shared" si="3"/>
        <v>445.61700000000201</v>
      </c>
    </row>
    <row r="43" spans="1:9" ht="14.25">
      <c r="A43" s="372" t="s">
        <v>99</v>
      </c>
      <c r="B43" s="373">
        <v>696.60800000000006</v>
      </c>
      <c r="C43" s="373">
        <v>537.15599999999995</v>
      </c>
      <c r="D43" s="373">
        <v>7900.1319999999996</v>
      </c>
      <c r="E43" s="373">
        <v>8437.2880000000005</v>
      </c>
      <c r="F43" s="373">
        <v>8824.496000000001</v>
      </c>
      <c r="H43" s="380">
        <f t="shared" si="2"/>
        <v>9133.8960000000006</v>
      </c>
      <c r="I43" s="380">
        <f t="shared" si="3"/>
        <v>309.39999999999964</v>
      </c>
    </row>
    <row r="44" spans="1:9" ht="14.25">
      <c r="A44" s="374"/>
      <c r="B44" s="375"/>
      <c r="C44" s="375"/>
      <c r="D44" s="375"/>
      <c r="E44" s="375"/>
      <c r="F44" s="375"/>
      <c r="H44" s="380"/>
      <c r="I44" s="380"/>
    </row>
    <row r="45" spans="1:9" ht="14.25">
      <c r="A45" s="368" t="s">
        <v>16</v>
      </c>
      <c r="B45" s="369">
        <v>8222.0330000000013</v>
      </c>
      <c r="C45" s="369">
        <v>5980.2780000000002</v>
      </c>
      <c r="D45" s="369">
        <v>82710.323000000004</v>
      </c>
      <c r="E45" s="369">
        <v>88690.60100000001</v>
      </c>
      <c r="F45" s="369">
        <v>93680.072</v>
      </c>
      <c r="H45" s="381">
        <f t="shared" ref="H45:H53" si="4">SUM(B45,E45)</f>
        <v>96912.634000000005</v>
      </c>
      <c r="I45" s="381">
        <f t="shared" ref="I45:I53" si="5">H45-F45</f>
        <v>3232.5620000000054</v>
      </c>
    </row>
    <row r="46" spans="1:9" ht="14.25">
      <c r="A46" s="370" t="s">
        <v>101</v>
      </c>
      <c r="B46" s="371">
        <v>693.54</v>
      </c>
      <c r="C46" s="371">
        <v>754.97200000000009</v>
      </c>
      <c r="D46" s="371">
        <v>8714.5290000000005</v>
      </c>
      <c r="E46" s="371">
        <v>9469.5010000000002</v>
      </c>
      <c r="F46" s="371">
        <v>9961.1579999999994</v>
      </c>
      <c r="H46" s="386">
        <f t="shared" si="4"/>
        <v>10163.041000000001</v>
      </c>
      <c r="I46" s="386">
        <f t="shared" si="5"/>
        <v>201.88300000000163</v>
      </c>
    </row>
    <row r="47" spans="1:9" ht="14.25">
      <c r="A47" s="372" t="s">
        <v>102</v>
      </c>
      <c r="B47" s="373">
        <v>1289.3760000000002</v>
      </c>
      <c r="C47" s="373">
        <v>1039.614</v>
      </c>
      <c r="D47" s="373">
        <v>14512.868</v>
      </c>
      <c r="E47" s="373">
        <v>15552.482</v>
      </c>
      <c r="F47" s="373">
        <v>16213.34</v>
      </c>
      <c r="H47" s="380">
        <f t="shared" si="4"/>
        <v>16841.858</v>
      </c>
      <c r="I47" s="380">
        <f t="shared" si="5"/>
        <v>628.51800000000003</v>
      </c>
    </row>
    <row r="48" spans="1:9" ht="14.25">
      <c r="A48" s="372" t="s">
        <v>103</v>
      </c>
      <c r="B48" s="373">
        <v>765.4</v>
      </c>
      <c r="C48" s="373">
        <v>643.97799999999995</v>
      </c>
      <c r="D48" s="373">
        <v>8243.4249999999993</v>
      </c>
      <c r="E48" s="373">
        <v>8887.4029999999984</v>
      </c>
      <c r="F48" s="373">
        <v>9293.64</v>
      </c>
      <c r="H48" s="380">
        <f t="shared" si="4"/>
        <v>9652.8029999999981</v>
      </c>
      <c r="I48" s="380">
        <f t="shared" si="5"/>
        <v>359.16299999999865</v>
      </c>
    </row>
    <row r="49" spans="1:9" ht="14.25">
      <c r="A49" s="372" t="s">
        <v>104</v>
      </c>
      <c r="B49" s="373">
        <v>2009.712</v>
      </c>
      <c r="C49" s="373">
        <v>1228.0800000000002</v>
      </c>
      <c r="D49" s="373">
        <v>17839.080000000002</v>
      </c>
      <c r="E49" s="373">
        <v>19067.160000000003</v>
      </c>
      <c r="F49" s="373">
        <v>20477.245000000003</v>
      </c>
      <c r="H49" s="380">
        <f t="shared" si="4"/>
        <v>21076.872000000003</v>
      </c>
      <c r="I49" s="380">
        <f t="shared" si="5"/>
        <v>599.62700000000041</v>
      </c>
    </row>
    <row r="50" spans="1:9" ht="14.25">
      <c r="A50" s="372" t="s">
        <v>105</v>
      </c>
      <c r="B50" s="373">
        <v>1743.8720000000001</v>
      </c>
      <c r="C50" s="373">
        <v>1089.5760000000002</v>
      </c>
      <c r="D50" s="373">
        <v>15496.932000000003</v>
      </c>
      <c r="E50" s="373">
        <v>16586.508000000002</v>
      </c>
      <c r="F50" s="373">
        <v>17618.447</v>
      </c>
      <c r="H50" s="380">
        <f t="shared" si="4"/>
        <v>18330.38</v>
      </c>
      <c r="I50" s="380">
        <f t="shared" si="5"/>
        <v>711.9330000000009</v>
      </c>
    </row>
    <row r="51" spans="1:9" ht="14.25">
      <c r="A51" s="372" t="s">
        <v>106</v>
      </c>
      <c r="B51" s="373">
        <v>679.46600000000001</v>
      </c>
      <c r="C51" s="373">
        <v>410.71000000000004</v>
      </c>
      <c r="D51" s="373">
        <v>6625.4960000000001</v>
      </c>
      <c r="E51" s="373">
        <v>7036.2060000000001</v>
      </c>
      <c r="F51" s="373">
        <v>7468.08</v>
      </c>
      <c r="H51" s="380">
        <f t="shared" si="4"/>
        <v>7715.6720000000005</v>
      </c>
      <c r="I51" s="380">
        <f t="shared" si="5"/>
        <v>247.59200000000055</v>
      </c>
    </row>
    <row r="52" spans="1:9" ht="14.25">
      <c r="A52" s="372" t="s">
        <v>107</v>
      </c>
      <c r="B52" s="373">
        <v>653.92199999999991</v>
      </c>
      <c r="C52" s="373">
        <v>566.423</v>
      </c>
      <c r="D52" s="373">
        <v>7566.768</v>
      </c>
      <c r="E52" s="373">
        <v>8133.1909999999998</v>
      </c>
      <c r="F52" s="373">
        <v>8447.25</v>
      </c>
      <c r="H52" s="380">
        <f t="shared" si="4"/>
        <v>8787.1129999999994</v>
      </c>
      <c r="I52" s="380">
        <f t="shared" si="5"/>
        <v>339.86299999999937</v>
      </c>
    </row>
    <row r="53" spans="1:9" ht="14.25">
      <c r="A53" s="372" t="s">
        <v>108</v>
      </c>
      <c r="B53" s="373">
        <v>386.745</v>
      </c>
      <c r="C53" s="373">
        <v>246.92499999999998</v>
      </c>
      <c r="D53" s="373">
        <v>3711.2249999999999</v>
      </c>
      <c r="E53" s="373">
        <v>3958.15</v>
      </c>
      <c r="F53" s="373">
        <v>4200.9120000000003</v>
      </c>
      <c r="H53" s="380">
        <f t="shared" si="4"/>
        <v>4344.8950000000004</v>
      </c>
      <c r="I53" s="380">
        <f t="shared" si="5"/>
        <v>143.98300000000017</v>
      </c>
    </row>
    <row r="54" spans="1:9" ht="14.25">
      <c r="A54" s="374"/>
      <c r="B54" s="375"/>
      <c r="C54" s="375"/>
      <c r="D54" s="375"/>
      <c r="E54" s="375"/>
      <c r="F54" s="375"/>
      <c r="H54" s="380"/>
      <c r="I54" s="380"/>
    </row>
    <row r="55" spans="1:9" ht="14.25">
      <c r="A55" s="368" t="s">
        <v>17</v>
      </c>
      <c r="B55" s="369">
        <v>9725.3339999999989</v>
      </c>
      <c r="C55" s="369">
        <v>8245.0019999999986</v>
      </c>
      <c r="D55" s="369">
        <v>100213.12300000002</v>
      </c>
      <c r="E55" s="369">
        <v>108458.12500000001</v>
      </c>
      <c r="F55" s="369">
        <v>113741.01099999998</v>
      </c>
      <c r="H55" s="381">
        <f t="shared" ref="H55:H64" si="6">SUM(B55,E55)</f>
        <v>118183.45900000002</v>
      </c>
      <c r="I55" s="381">
        <f t="shared" ref="I55:I64" si="7">H55-F55</f>
        <v>4442.4480000000331</v>
      </c>
    </row>
    <row r="56" spans="1:9" ht="14.25">
      <c r="A56" s="370" t="s">
        <v>109</v>
      </c>
      <c r="B56" s="371">
        <v>188.59799999999998</v>
      </c>
      <c r="C56" s="371">
        <v>157.27599999999998</v>
      </c>
      <c r="D56" s="371">
        <v>2471.6439999999998</v>
      </c>
      <c r="E56" s="371">
        <v>2628.9199999999996</v>
      </c>
      <c r="F56" s="371">
        <v>2694.9120000000003</v>
      </c>
      <c r="H56" s="386">
        <f t="shared" si="6"/>
        <v>2817.5179999999996</v>
      </c>
      <c r="I56" s="386">
        <f t="shared" si="7"/>
        <v>122.60599999999931</v>
      </c>
    </row>
    <row r="57" spans="1:9" ht="14.25">
      <c r="A57" s="372" t="s">
        <v>110</v>
      </c>
      <c r="B57" s="373">
        <v>3865.52</v>
      </c>
      <c r="C57" s="373">
        <v>3869.3579999999997</v>
      </c>
      <c r="D57" s="373">
        <v>43283.303999999996</v>
      </c>
      <c r="E57" s="373">
        <v>47152.661999999997</v>
      </c>
      <c r="F57" s="373">
        <v>48871.686000000002</v>
      </c>
      <c r="H57" s="380">
        <f t="shared" si="6"/>
        <v>51018.181999999993</v>
      </c>
      <c r="I57" s="380">
        <f t="shared" si="7"/>
        <v>2146.4959999999919</v>
      </c>
    </row>
    <row r="58" spans="1:9" ht="14.25">
      <c r="A58" s="372" t="s">
        <v>111</v>
      </c>
      <c r="B58" s="373">
        <v>1423.442</v>
      </c>
      <c r="C58" s="373">
        <v>1008.3430000000001</v>
      </c>
      <c r="D58" s="373">
        <v>11922.372000000001</v>
      </c>
      <c r="E58" s="373">
        <v>12930.715000000002</v>
      </c>
      <c r="F58" s="373">
        <v>13825.125</v>
      </c>
      <c r="H58" s="380">
        <f t="shared" si="6"/>
        <v>14354.157000000003</v>
      </c>
      <c r="I58" s="380">
        <f t="shared" si="7"/>
        <v>529.03200000000288</v>
      </c>
    </row>
    <row r="59" spans="1:9" ht="14.25">
      <c r="A59" s="372" t="s">
        <v>112</v>
      </c>
      <c r="B59" s="373">
        <v>699.05000000000007</v>
      </c>
      <c r="C59" s="373">
        <v>507.36599999999999</v>
      </c>
      <c r="D59" s="373">
        <v>6452.6220000000003</v>
      </c>
      <c r="E59" s="373">
        <v>6959.9880000000003</v>
      </c>
      <c r="F59" s="373">
        <v>7558.4340000000002</v>
      </c>
      <c r="H59" s="380">
        <f t="shared" si="6"/>
        <v>7659.0380000000005</v>
      </c>
      <c r="I59" s="380">
        <f t="shared" si="7"/>
        <v>100.60400000000027</v>
      </c>
    </row>
    <row r="60" spans="1:9" ht="14.25">
      <c r="A60" s="372" t="s">
        <v>113</v>
      </c>
      <c r="B60" s="373">
        <v>707.42700000000002</v>
      </c>
      <c r="C60" s="373">
        <v>443.44</v>
      </c>
      <c r="D60" s="373">
        <v>6001.7119999999995</v>
      </c>
      <c r="E60" s="373">
        <v>6445.1519999999991</v>
      </c>
      <c r="F60" s="373">
        <v>6973.5329999999994</v>
      </c>
      <c r="H60" s="380">
        <f t="shared" si="6"/>
        <v>7152.5789999999988</v>
      </c>
      <c r="I60" s="380">
        <f t="shared" si="7"/>
        <v>179.04599999999937</v>
      </c>
    </row>
    <row r="61" spans="1:9" ht="14.25">
      <c r="A61" s="372" t="s">
        <v>114</v>
      </c>
      <c r="B61" s="373">
        <v>283.96499999999997</v>
      </c>
      <c r="C61" s="373">
        <v>223.68199999999999</v>
      </c>
      <c r="D61" s="373">
        <v>2914.8499999999995</v>
      </c>
      <c r="E61" s="373">
        <v>3138.5319999999992</v>
      </c>
      <c r="F61" s="373">
        <v>3286.5140000000001</v>
      </c>
      <c r="H61" s="380">
        <f t="shared" si="6"/>
        <v>3422.4969999999994</v>
      </c>
      <c r="I61" s="380">
        <f t="shared" si="7"/>
        <v>135.98299999999927</v>
      </c>
    </row>
    <row r="62" spans="1:9" ht="14.25">
      <c r="A62" s="372" t="s">
        <v>115</v>
      </c>
      <c r="B62" s="373">
        <v>781.49400000000003</v>
      </c>
      <c r="C62" s="373">
        <v>486.20000000000005</v>
      </c>
      <c r="D62" s="373">
        <v>7061.054000000001</v>
      </c>
      <c r="E62" s="373">
        <v>7547.2540000000008</v>
      </c>
      <c r="F62" s="373">
        <v>8023.2049999999999</v>
      </c>
      <c r="H62" s="380">
        <f t="shared" si="6"/>
        <v>8328.7480000000014</v>
      </c>
      <c r="I62" s="380">
        <f t="shared" si="7"/>
        <v>305.54300000000148</v>
      </c>
    </row>
    <row r="63" spans="1:9" ht="14.25">
      <c r="A63" s="372" t="s">
        <v>116</v>
      </c>
      <c r="B63" s="373">
        <v>1390.413</v>
      </c>
      <c r="C63" s="373">
        <v>1179.809</v>
      </c>
      <c r="D63" s="373">
        <v>15846.651</v>
      </c>
      <c r="E63" s="373">
        <v>17026.46</v>
      </c>
      <c r="F63" s="373">
        <v>17668.899000000001</v>
      </c>
      <c r="H63" s="380">
        <f t="shared" si="6"/>
        <v>18416.873</v>
      </c>
      <c r="I63" s="380">
        <f t="shared" si="7"/>
        <v>747.97399999999834</v>
      </c>
    </row>
    <row r="64" spans="1:9" ht="14.25">
      <c r="A64" s="372" t="s">
        <v>117</v>
      </c>
      <c r="B64" s="373">
        <v>385.42500000000001</v>
      </c>
      <c r="C64" s="373">
        <v>369.52800000000002</v>
      </c>
      <c r="D64" s="373">
        <v>4258.9140000000007</v>
      </c>
      <c r="E64" s="373">
        <v>4628.4420000000009</v>
      </c>
      <c r="F64" s="373">
        <v>4838.7029999999995</v>
      </c>
      <c r="H64" s="380">
        <f t="shared" si="6"/>
        <v>5013.8670000000011</v>
      </c>
      <c r="I64" s="380">
        <f t="shared" si="7"/>
        <v>175.16400000000158</v>
      </c>
    </row>
    <row r="65" spans="1:9" ht="14.25">
      <c r="A65" s="374"/>
      <c r="B65" s="375"/>
      <c r="C65" s="375"/>
      <c r="D65" s="375"/>
      <c r="E65" s="375"/>
      <c r="F65" s="375"/>
      <c r="H65" s="380"/>
      <c r="I65" s="380"/>
    </row>
    <row r="66" spans="1:9" ht="14.25">
      <c r="A66" s="368" t="s">
        <v>381</v>
      </c>
      <c r="B66" s="369">
        <v>11358.925999999998</v>
      </c>
      <c r="C66" s="369">
        <v>10571.775</v>
      </c>
      <c r="D66" s="369">
        <v>119843.41500000001</v>
      </c>
      <c r="E66" s="369">
        <v>130415.19</v>
      </c>
      <c r="F66" s="369">
        <v>137400.755</v>
      </c>
      <c r="H66" s="381">
        <f t="shared" ref="H66:H92" si="8">SUM(B66,E66)</f>
        <v>141774.11600000001</v>
      </c>
      <c r="I66" s="381">
        <f t="shared" ref="I66:I92" si="9">H66-F66</f>
        <v>4373.3610000000044</v>
      </c>
    </row>
    <row r="67" spans="1:9" ht="14.25">
      <c r="A67" s="370" t="s">
        <v>69</v>
      </c>
      <c r="B67" s="371">
        <v>426.14000000000004</v>
      </c>
      <c r="C67" s="371">
        <v>255.83100000000002</v>
      </c>
      <c r="D67" s="371">
        <v>3929.3670000000002</v>
      </c>
      <c r="E67" s="371">
        <v>4185.1980000000003</v>
      </c>
      <c r="F67" s="371">
        <v>4487.21</v>
      </c>
      <c r="H67" s="386">
        <f t="shared" si="8"/>
        <v>4611.3380000000006</v>
      </c>
      <c r="I67" s="386">
        <f t="shared" si="9"/>
        <v>124.12800000000061</v>
      </c>
    </row>
    <row r="68" spans="1:9" ht="14.25">
      <c r="A68" s="372" t="s">
        <v>70</v>
      </c>
      <c r="B68" s="373">
        <v>131.03599999999997</v>
      </c>
      <c r="C68" s="373">
        <v>111.13500000000001</v>
      </c>
      <c r="D68" s="373">
        <v>1760.49</v>
      </c>
      <c r="E68" s="373">
        <v>1871.625</v>
      </c>
      <c r="F68" s="373">
        <v>1954.6880000000001</v>
      </c>
      <c r="H68" s="380">
        <f t="shared" si="8"/>
        <v>2002.6610000000001</v>
      </c>
      <c r="I68" s="380">
        <f t="shared" si="9"/>
        <v>47.972999999999956</v>
      </c>
    </row>
    <row r="69" spans="1:9" ht="14.25">
      <c r="A69" s="372" t="s">
        <v>64</v>
      </c>
      <c r="B69" s="373">
        <v>924.48</v>
      </c>
      <c r="C69" s="373">
        <v>619.5200000000001</v>
      </c>
      <c r="D69" s="373">
        <v>12187.296000000002</v>
      </c>
      <c r="E69" s="373">
        <v>12806.816000000003</v>
      </c>
      <c r="F69" s="373">
        <v>13435.795999999998</v>
      </c>
      <c r="H69" s="380">
        <f t="shared" si="8"/>
        <v>13731.296000000002</v>
      </c>
      <c r="I69" s="380">
        <f t="shared" si="9"/>
        <v>295.50000000000364</v>
      </c>
    </row>
    <row r="70" spans="1:9" ht="14.25">
      <c r="A70" s="372" t="s">
        <v>71</v>
      </c>
      <c r="B70" s="373">
        <v>96.353999999999999</v>
      </c>
      <c r="C70" s="373">
        <v>45.262</v>
      </c>
      <c r="D70" s="373">
        <v>759.20600000000002</v>
      </c>
      <c r="E70" s="373">
        <v>804.46800000000007</v>
      </c>
      <c r="F70" s="373">
        <v>866.43600000000004</v>
      </c>
      <c r="H70" s="380">
        <f t="shared" si="8"/>
        <v>900.82200000000012</v>
      </c>
      <c r="I70" s="380">
        <f t="shared" si="9"/>
        <v>34.386000000000081</v>
      </c>
    </row>
    <row r="71" spans="1:9" ht="14.25">
      <c r="A71" s="372" t="s">
        <v>65</v>
      </c>
      <c r="B71" s="373">
        <v>549.76900000000001</v>
      </c>
      <c r="C71" s="373">
        <v>324.12</v>
      </c>
      <c r="D71" s="373">
        <v>5680.7139999999999</v>
      </c>
      <c r="E71" s="373">
        <v>6004.8339999999998</v>
      </c>
      <c r="F71" s="373">
        <v>6334.746000000001</v>
      </c>
      <c r="H71" s="380">
        <f t="shared" si="8"/>
        <v>6554.6030000000001</v>
      </c>
      <c r="I71" s="380">
        <f t="shared" si="9"/>
        <v>219.85699999999906</v>
      </c>
    </row>
    <row r="72" spans="1:9" ht="14.25">
      <c r="A72" s="372" t="s">
        <v>72</v>
      </c>
      <c r="B72" s="373">
        <v>125.00099999999999</v>
      </c>
      <c r="C72" s="373">
        <v>67.914000000000001</v>
      </c>
      <c r="D72" s="373">
        <v>1091.6219999999998</v>
      </c>
      <c r="E72" s="373">
        <v>1159.5359999999998</v>
      </c>
      <c r="F72" s="373">
        <v>1251.019</v>
      </c>
      <c r="H72" s="380">
        <f t="shared" si="8"/>
        <v>1284.5369999999998</v>
      </c>
      <c r="I72" s="380">
        <f t="shared" si="9"/>
        <v>33.517999999999802</v>
      </c>
    </row>
    <row r="73" spans="1:9" ht="14.25">
      <c r="A73" s="408" t="s">
        <v>89</v>
      </c>
      <c r="B73" s="409">
        <v>549.66600000000005</v>
      </c>
      <c r="C73" s="409">
        <v>424.02</v>
      </c>
      <c r="D73" s="409">
        <v>5904.09</v>
      </c>
      <c r="E73" s="409">
        <v>6328.1100000000006</v>
      </c>
      <c r="F73" s="409">
        <v>6613.3649999999998</v>
      </c>
      <c r="H73" s="380">
        <f t="shared" si="8"/>
        <v>6877.7760000000007</v>
      </c>
      <c r="I73" s="380">
        <f t="shared" si="9"/>
        <v>264.41100000000097</v>
      </c>
    </row>
    <row r="74" spans="1:9" ht="14.25">
      <c r="A74" s="406" t="s">
        <v>73</v>
      </c>
      <c r="B74" s="377">
        <v>932.10600000000011</v>
      </c>
      <c r="C74" s="377">
        <v>732.9</v>
      </c>
      <c r="D74" s="377">
        <v>8199</v>
      </c>
      <c r="E74" s="377">
        <v>8931.9</v>
      </c>
      <c r="F74" s="377">
        <v>9726.9410000000007</v>
      </c>
      <c r="H74" s="380">
        <f t="shared" si="8"/>
        <v>9864.0059999999994</v>
      </c>
      <c r="I74" s="380">
        <f t="shared" si="9"/>
        <v>137.06499999999869</v>
      </c>
    </row>
    <row r="75" spans="1:9" ht="14.25">
      <c r="A75" s="406" t="s">
        <v>74</v>
      </c>
      <c r="B75" s="377">
        <v>248.517</v>
      </c>
      <c r="C75" s="377">
        <v>135.642</v>
      </c>
      <c r="D75" s="377">
        <v>2288.9939999999997</v>
      </c>
      <c r="E75" s="377">
        <v>2424.6359999999995</v>
      </c>
      <c r="F75" s="377">
        <v>2560.5449999999996</v>
      </c>
      <c r="H75" s="380">
        <f t="shared" si="8"/>
        <v>2673.1529999999993</v>
      </c>
      <c r="I75" s="380">
        <f t="shared" si="9"/>
        <v>112.60799999999972</v>
      </c>
    </row>
    <row r="76" spans="1:9" ht="14.25">
      <c r="A76" s="406" t="s">
        <v>75</v>
      </c>
      <c r="B76" s="377">
        <v>376.64</v>
      </c>
      <c r="C76" s="377">
        <v>138.27199999999999</v>
      </c>
      <c r="D76" s="377">
        <v>3192.027</v>
      </c>
      <c r="E76" s="377">
        <v>3330.299</v>
      </c>
      <c r="F76" s="377">
        <v>3642.444</v>
      </c>
      <c r="H76" s="380">
        <f t="shared" si="8"/>
        <v>3706.9389999999999</v>
      </c>
      <c r="I76" s="380">
        <f t="shared" si="9"/>
        <v>64.494999999999891</v>
      </c>
    </row>
    <row r="77" spans="1:9" ht="14.25">
      <c r="A77" s="406" t="s">
        <v>76</v>
      </c>
      <c r="B77" s="377">
        <v>104.304</v>
      </c>
      <c r="C77" s="377">
        <v>57.375000000000007</v>
      </c>
      <c r="D77" s="377">
        <v>940.1400000000001</v>
      </c>
      <c r="E77" s="377">
        <v>997.5150000000001</v>
      </c>
      <c r="F77" s="377">
        <v>1057.3410000000001</v>
      </c>
      <c r="H77" s="380">
        <f t="shared" si="8"/>
        <v>1101.8190000000002</v>
      </c>
      <c r="I77" s="380">
        <f t="shared" si="9"/>
        <v>44.478000000000065</v>
      </c>
    </row>
    <row r="78" spans="1:9" ht="14.25">
      <c r="A78" s="406" t="s">
        <v>77</v>
      </c>
      <c r="B78" s="377">
        <v>152.38</v>
      </c>
      <c r="C78" s="377">
        <v>183.66799999999998</v>
      </c>
      <c r="D78" s="377">
        <v>1961.8019999999999</v>
      </c>
      <c r="E78" s="377">
        <v>2145.4699999999998</v>
      </c>
      <c r="F78" s="377">
        <v>2188.4849999999997</v>
      </c>
      <c r="H78" s="380">
        <f t="shared" si="8"/>
        <v>2297.85</v>
      </c>
      <c r="I78" s="380">
        <f t="shared" si="9"/>
        <v>109.36500000000024</v>
      </c>
    </row>
    <row r="79" spans="1:9" ht="14.25">
      <c r="A79" s="406" t="s">
        <v>78</v>
      </c>
      <c r="B79" s="377">
        <v>51.211999999999996</v>
      </c>
      <c r="C79" s="377">
        <v>26.532999999999998</v>
      </c>
      <c r="D79" s="377">
        <v>574.09299999999996</v>
      </c>
      <c r="E79" s="377">
        <v>600.62599999999998</v>
      </c>
      <c r="F79" s="377">
        <v>626.34</v>
      </c>
      <c r="H79" s="380">
        <f t="shared" si="8"/>
        <v>651.83799999999997</v>
      </c>
      <c r="I79" s="380">
        <f t="shared" si="9"/>
        <v>25.497999999999934</v>
      </c>
    </row>
    <row r="80" spans="1:9" ht="14.25">
      <c r="A80" s="406" t="s">
        <v>79</v>
      </c>
      <c r="B80" s="377">
        <v>100.30000000000001</v>
      </c>
      <c r="C80" s="377">
        <v>56.579999999999991</v>
      </c>
      <c r="D80" s="377">
        <v>960.87599999999986</v>
      </c>
      <c r="E80" s="377">
        <v>1017.4559999999999</v>
      </c>
      <c r="F80" s="377">
        <v>1090.7520000000002</v>
      </c>
      <c r="H80" s="380">
        <f t="shared" si="8"/>
        <v>1117.7559999999999</v>
      </c>
      <c r="I80" s="380">
        <f t="shared" si="9"/>
        <v>27.003999999999678</v>
      </c>
    </row>
    <row r="81" spans="1:12" ht="14.25">
      <c r="A81" s="406" t="s">
        <v>80</v>
      </c>
      <c r="B81" s="377">
        <v>176.08800000000002</v>
      </c>
      <c r="C81" s="377">
        <v>104.48099999999999</v>
      </c>
      <c r="D81" s="377">
        <v>1784.9189999999999</v>
      </c>
      <c r="E81" s="377">
        <v>1889.3999999999999</v>
      </c>
      <c r="F81" s="377">
        <v>2018.6319999999998</v>
      </c>
      <c r="H81" s="380">
        <f t="shared" si="8"/>
        <v>2065.4879999999998</v>
      </c>
      <c r="I81" s="380">
        <f t="shared" si="9"/>
        <v>46.855999999999995</v>
      </c>
    </row>
    <row r="82" spans="1:12" ht="14.25">
      <c r="A82" s="406" t="s">
        <v>94</v>
      </c>
      <c r="B82" s="377">
        <v>724.2059999999999</v>
      </c>
      <c r="C82" s="377">
        <v>526.40699999999993</v>
      </c>
      <c r="D82" s="377">
        <v>7834.8059999999996</v>
      </c>
      <c r="E82" s="377">
        <v>8361.2129999999997</v>
      </c>
      <c r="F82" s="377">
        <v>8699.0780000000013</v>
      </c>
      <c r="H82" s="380">
        <f t="shared" si="8"/>
        <v>9085.4189999999999</v>
      </c>
      <c r="I82" s="380">
        <f t="shared" si="9"/>
        <v>386.34099999999853</v>
      </c>
    </row>
    <row r="83" spans="1:12" ht="14.25">
      <c r="A83" s="406" t="s">
        <v>66</v>
      </c>
      <c r="B83" s="377">
        <v>1481.2479999999998</v>
      </c>
      <c r="C83" s="377">
        <v>1584.183</v>
      </c>
      <c r="D83" s="377">
        <v>17833.423000000003</v>
      </c>
      <c r="E83" s="377">
        <v>19417.606000000003</v>
      </c>
      <c r="F83" s="377">
        <v>20094.585999999999</v>
      </c>
      <c r="H83" s="380">
        <f t="shared" si="8"/>
        <v>20898.854000000003</v>
      </c>
      <c r="I83" s="380">
        <f t="shared" si="9"/>
        <v>804.26800000000367</v>
      </c>
    </row>
    <row r="84" spans="1:12" ht="14.25">
      <c r="A84" s="407" t="s">
        <v>81</v>
      </c>
      <c r="B84" s="378">
        <v>141.28400000000002</v>
      </c>
      <c r="C84" s="378">
        <v>79.569999999999993</v>
      </c>
      <c r="D84" s="378">
        <v>1655.202</v>
      </c>
      <c r="E84" s="378">
        <v>1734.7719999999999</v>
      </c>
      <c r="F84" s="378">
        <v>1811.1599999999999</v>
      </c>
      <c r="H84" s="380">
        <f t="shared" si="8"/>
        <v>1876.056</v>
      </c>
      <c r="I84" s="380">
        <f t="shared" si="9"/>
        <v>64.896000000000186</v>
      </c>
    </row>
    <row r="85" spans="1:12" ht="14.25">
      <c r="A85" s="372" t="s">
        <v>67</v>
      </c>
      <c r="B85" s="373">
        <v>1463.0139999999999</v>
      </c>
      <c r="C85" s="373">
        <v>1889.125</v>
      </c>
      <c r="D85" s="373">
        <v>13143.125</v>
      </c>
      <c r="E85" s="373">
        <v>15032.25</v>
      </c>
      <c r="F85" s="373">
        <v>16075.392</v>
      </c>
      <c r="H85" s="380">
        <f t="shared" si="8"/>
        <v>16495.263999999999</v>
      </c>
      <c r="I85" s="380">
        <f t="shared" si="9"/>
        <v>419.87199999999939</v>
      </c>
    </row>
    <row r="86" spans="1:12" ht="14.25">
      <c r="A86" s="372" t="s">
        <v>82</v>
      </c>
      <c r="B86" s="373">
        <v>105.774</v>
      </c>
      <c r="C86" s="373">
        <v>51.792000000000002</v>
      </c>
      <c r="D86" s="373">
        <v>1111.0319999999999</v>
      </c>
      <c r="E86" s="373">
        <v>1162.8239999999998</v>
      </c>
      <c r="F86" s="373">
        <v>1231.192</v>
      </c>
      <c r="H86" s="380">
        <f t="shared" si="8"/>
        <v>1268.598</v>
      </c>
      <c r="I86" s="380">
        <f t="shared" si="9"/>
        <v>37.405999999999949</v>
      </c>
    </row>
    <row r="87" spans="1:12" ht="14.25">
      <c r="A87" s="372" t="s">
        <v>83</v>
      </c>
      <c r="B87" s="373">
        <v>312.48</v>
      </c>
      <c r="C87" s="373">
        <v>372.21499999999997</v>
      </c>
      <c r="D87" s="373">
        <v>3431.6259999999997</v>
      </c>
      <c r="E87" s="373">
        <v>3803.8409999999999</v>
      </c>
      <c r="F87" s="373">
        <v>3960.3599999999997</v>
      </c>
      <c r="H87" s="380">
        <f t="shared" si="8"/>
        <v>4116.3209999999999</v>
      </c>
      <c r="I87" s="380">
        <f t="shared" si="9"/>
        <v>155.96100000000024</v>
      </c>
    </row>
    <row r="88" spans="1:12" ht="14.25">
      <c r="A88" s="372" t="s">
        <v>68</v>
      </c>
      <c r="B88" s="373">
        <v>590.32800000000009</v>
      </c>
      <c r="C88" s="373">
        <v>395.07599999999996</v>
      </c>
      <c r="D88" s="373">
        <v>5905.6399999999994</v>
      </c>
      <c r="E88" s="373">
        <v>6300.7159999999994</v>
      </c>
      <c r="F88" s="373">
        <v>6613.0340000000006</v>
      </c>
      <c r="H88" s="380">
        <f t="shared" si="8"/>
        <v>6891.0439999999999</v>
      </c>
      <c r="I88" s="380">
        <f t="shared" si="9"/>
        <v>278.00999999999931</v>
      </c>
    </row>
    <row r="89" spans="1:12" ht="14.25">
      <c r="A89" s="372" t="s">
        <v>84</v>
      </c>
      <c r="B89" s="373">
        <v>115.83000000000001</v>
      </c>
      <c r="C89" s="373">
        <v>61.272000000000006</v>
      </c>
      <c r="D89" s="373">
        <v>1034.6680000000001</v>
      </c>
      <c r="E89" s="373">
        <v>1095.94</v>
      </c>
      <c r="F89" s="373">
        <v>1184.2</v>
      </c>
      <c r="H89" s="380">
        <f t="shared" si="8"/>
        <v>1211.77</v>
      </c>
      <c r="I89" s="380">
        <f t="shared" si="9"/>
        <v>27.569999999999936</v>
      </c>
    </row>
    <row r="90" spans="1:12" ht="14.25">
      <c r="A90" s="372" t="s">
        <v>85</v>
      </c>
      <c r="B90" s="373">
        <v>1334.6729999999998</v>
      </c>
      <c r="C90" s="373">
        <v>2250.9569999999999</v>
      </c>
      <c r="D90" s="373">
        <v>15159.342999999999</v>
      </c>
      <c r="E90" s="373">
        <v>17410.3</v>
      </c>
      <c r="F90" s="373">
        <v>18185.919000000002</v>
      </c>
      <c r="H90" s="380">
        <f t="shared" si="8"/>
        <v>18744.972999999998</v>
      </c>
      <c r="I90" s="380">
        <f t="shared" si="9"/>
        <v>559.05399999999645</v>
      </c>
    </row>
    <row r="91" spans="1:12" ht="14.25">
      <c r="A91" s="372" t="s">
        <v>86</v>
      </c>
      <c r="B91" s="373">
        <v>43.608000000000004</v>
      </c>
      <c r="C91" s="373">
        <v>26.445</v>
      </c>
      <c r="D91" s="373">
        <v>522.45000000000005</v>
      </c>
      <c r="E91" s="373">
        <v>548.8950000000001</v>
      </c>
      <c r="F91" s="373">
        <v>554.18999999999994</v>
      </c>
      <c r="H91" s="380">
        <f t="shared" si="8"/>
        <v>592.50300000000016</v>
      </c>
      <c r="I91" s="380">
        <f t="shared" si="9"/>
        <v>38.313000000000216</v>
      </c>
    </row>
    <row r="92" spans="1:12" ht="14.25">
      <c r="A92" s="372" t="s">
        <v>87</v>
      </c>
      <c r="B92" s="373">
        <v>102.488</v>
      </c>
      <c r="C92" s="373">
        <v>51.48</v>
      </c>
      <c r="D92" s="373">
        <v>997.46399999999994</v>
      </c>
      <c r="E92" s="373">
        <v>1048.944</v>
      </c>
      <c r="F92" s="373">
        <v>1136.904</v>
      </c>
      <c r="H92" s="380">
        <f t="shared" si="8"/>
        <v>1151.432</v>
      </c>
      <c r="I92" s="380">
        <f t="shared" si="9"/>
        <v>14.52800000000002</v>
      </c>
    </row>
    <row r="93" spans="1:12" ht="14.25">
      <c r="A93" s="374"/>
      <c r="B93" s="375"/>
      <c r="C93" s="375"/>
      <c r="D93" s="375"/>
      <c r="E93" s="375"/>
      <c r="F93" s="375"/>
      <c r="H93" s="381"/>
      <c r="I93" s="381"/>
    </row>
    <row r="94" spans="1:12" ht="14.25">
      <c r="A94" s="368" t="s">
        <v>428</v>
      </c>
      <c r="B94" s="369">
        <v>8959.5149999999994</v>
      </c>
      <c r="C94" s="369">
        <v>7938.9009999999989</v>
      </c>
      <c r="D94" s="369">
        <v>101247.36300000001</v>
      </c>
      <c r="E94" s="369">
        <v>109186.264</v>
      </c>
      <c r="F94" s="369">
        <v>114320.59700000002</v>
      </c>
      <c r="H94" s="381">
        <f t="shared" ref="H94:H117" si="10">SUM(B94,E94)</f>
        <v>118145.77899999999</v>
      </c>
      <c r="I94" s="381">
        <f t="shared" ref="I94:I117" si="11">H94-F94</f>
        <v>3825.1819999999716</v>
      </c>
    </row>
    <row r="95" spans="1:12" ht="14.25">
      <c r="A95" s="370" t="s">
        <v>118</v>
      </c>
      <c r="B95" s="371">
        <v>297.13499999999999</v>
      </c>
      <c r="C95" s="371">
        <v>212.16</v>
      </c>
      <c r="D95" s="371">
        <v>3510.08</v>
      </c>
      <c r="E95" s="371">
        <v>3722.24</v>
      </c>
      <c r="F95" s="371">
        <v>3852.8430000000003</v>
      </c>
      <c r="H95" s="380">
        <f t="shared" si="10"/>
        <v>4019.375</v>
      </c>
      <c r="I95" s="380">
        <f t="shared" si="11"/>
        <v>166.5319999999997</v>
      </c>
      <c r="K95" s="380"/>
      <c r="L95" s="380"/>
    </row>
    <row r="96" spans="1:12" ht="14.25">
      <c r="A96" s="372" t="s">
        <v>119</v>
      </c>
      <c r="B96" s="373">
        <v>129.12899999999999</v>
      </c>
      <c r="C96" s="373">
        <v>74.86</v>
      </c>
      <c r="D96" s="373">
        <v>1189.289</v>
      </c>
      <c r="E96" s="373">
        <v>1264.1489999999999</v>
      </c>
      <c r="F96" s="373">
        <v>1359.7920000000001</v>
      </c>
      <c r="H96" s="380">
        <f t="shared" si="10"/>
        <v>1393.2779999999998</v>
      </c>
      <c r="I96" s="380">
        <f t="shared" si="11"/>
        <v>33.485999999999649</v>
      </c>
    </row>
    <row r="97" spans="1:9" ht="14.25">
      <c r="A97" s="372" t="s">
        <v>120</v>
      </c>
      <c r="B97" s="373">
        <v>281.601</v>
      </c>
      <c r="C97" s="373">
        <v>168.46199999999999</v>
      </c>
      <c r="D97" s="373">
        <v>2801.3969999999999</v>
      </c>
      <c r="E97" s="373">
        <v>2969.8589999999999</v>
      </c>
      <c r="F97" s="373">
        <v>3180.0720000000001</v>
      </c>
      <c r="H97" s="380">
        <f t="shared" si="10"/>
        <v>3251.46</v>
      </c>
      <c r="I97" s="380">
        <f t="shared" si="11"/>
        <v>71.38799999999992</v>
      </c>
    </row>
    <row r="98" spans="1:9" ht="14.25">
      <c r="A98" s="372" t="s">
        <v>121</v>
      </c>
      <c r="B98" s="373">
        <v>173.47499999999999</v>
      </c>
      <c r="C98" s="373">
        <v>134.54</v>
      </c>
      <c r="D98" s="373">
        <v>2344.902</v>
      </c>
      <c r="E98" s="373">
        <v>2479.442</v>
      </c>
      <c r="F98" s="373">
        <v>2541.7150000000001</v>
      </c>
      <c r="H98" s="380">
        <f t="shared" si="10"/>
        <v>2652.9169999999999</v>
      </c>
      <c r="I98" s="380">
        <f t="shared" si="11"/>
        <v>111.20199999999977</v>
      </c>
    </row>
    <row r="99" spans="1:9" ht="14.25">
      <c r="A99" s="372" t="s">
        <v>122</v>
      </c>
      <c r="B99" s="373">
        <v>1902.0149999999999</v>
      </c>
      <c r="C99" s="373">
        <v>1215.405</v>
      </c>
      <c r="D99" s="373">
        <v>20671.335000000003</v>
      </c>
      <c r="E99" s="373">
        <v>21886.74</v>
      </c>
      <c r="F99" s="373">
        <v>23096.183000000001</v>
      </c>
      <c r="H99" s="380">
        <f t="shared" si="10"/>
        <v>23788.755000000001</v>
      </c>
      <c r="I99" s="380">
        <f t="shared" si="11"/>
        <v>692.57200000000012</v>
      </c>
    </row>
    <row r="100" spans="1:9" ht="14.25">
      <c r="A100" s="372" t="s">
        <v>123</v>
      </c>
      <c r="B100" s="373">
        <v>580.31399999999996</v>
      </c>
      <c r="C100" s="373">
        <v>601.86700000000008</v>
      </c>
      <c r="D100" s="373">
        <v>8256.0790000000015</v>
      </c>
      <c r="E100" s="373">
        <v>8857.9460000000017</v>
      </c>
      <c r="F100" s="373">
        <v>9084.4840000000004</v>
      </c>
      <c r="H100" s="380">
        <f t="shared" si="10"/>
        <v>9438.260000000002</v>
      </c>
      <c r="I100" s="380">
        <f t="shared" si="11"/>
        <v>353.77600000000166</v>
      </c>
    </row>
    <row r="101" spans="1:9" ht="14.25">
      <c r="A101" s="372" t="s">
        <v>124</v>
      </c>
      <c r="B101" s="373">
        <v>258.06</v>
      </c>
      <c r="C101" s="373">
        <v>160.57999999999998</v>
      </c>
      <c r="D101" s="373">
        <v>2819.2150000000001</v>
      </c>
      <c r="E101" s="373">
        <v>2979.7950000000001</v>
      </c>
      <c r="F101" s="373">
        <v>3142.8319999999999</v>
      </c>
      <c r="H101" s="380">
        <f t="shared" si="10"/>
        <v>3237.855</v>
      </c>
      <c r="I101" s="380">
        <f t="shared" si="11"/>
        <v>95.023000000000138</v>
      </c>
    </row>
    <row r="102" spans="1:9" ht="14.25">
      <c r="A102" s="372" t="s">
        <v>125</v>
      </c>
      <c r="B102" s="373">
        <v>119.77000000000001</v>
      </c>
      <c r="C102" s="373">
        <v>59.785999999999994</v>
      </c>
      <c r="D102" s="373">
        <v>1042.675</v>
      </c>
      <c r="E102" s="373">
        <v>1102.461</v>
      </c>
      <c r="F102" s="373">
        <v>1188.3699999999999</v>
      </c>
      <c r="H102" s="380">
        <f t="shared" si="10"/>
        <v>1222.231</v>
      </c>
      <c r="I102" s="380">
        <f t="shared" si="11"/>
        <v>33.861000000000104</v>
      </c>
    </row>
    <row r="103" spans="1:9" ht="14.25">
      <c r="A103" s="372" t="s">
        <v>126</v>
      </c>
      <c r="B103" s="373">
        <v>98.367999999999995</v>
      </c>
      <c r="C103" s="373">
        <v>68.31</v>
      </c>
      <c r="D103" s="373">
        <v>955.92599999999993</v>
      </c>
      <c r="E103" s="373">
        <v>1024.2359999999999</v>
      </c>
      <c r="F103" s="373">
        <v>1082.9949999999999</v>
      </c>
      <c r="H103" s="380">
        <f t="shared" si="10"/>
        <v>1122.6039999999998</v>
      </c>
      <c r="I103" s="380">
        <f t="shared" si="11"/>
        <v>39.608999999999924</v>
      </c>
    </row>
    <row r="104" spans="1:9" ht="14.25">
      <c r="A104" s="372" t="s">
        <v>127</v>
      </c>
      <c r="B104" s="373">
        <v>388.88499999999993</v>
      </c>
      <c r="C104" s="373">
        <v>275.44800000000004</v>
      </c>
      <c r="D104" s="373">
        <v>4643.01</v>
      </c>
      <c r="E104" s="373">
        <v>4918.4580000000005</v>
      </c>
      <c r="F104" s="373">
        <v>5144.3640000000005</v>
      </c>
      <c r="H104" s="380">
        <f t="shared" si="10"/>
        <v>5307.3430000000008</v>
      </c>
      <c r="I104" s="380">
        <f t="shared" si="11"/>
        <v>162.97900000000027</v>
      </c>
    </row>
    <row r="105" spans="1:9" ht="14.25">
      <c r="A105" s="372" t="s">
        <v>128</v>
      </c>
      <c r="B105" s="373">
        <v>943.40000000000009</v>
      </c>
      <c r="C105" s="373">
        <v>622.125</v>
      </c>
      <c r="D105" s="373">
        <v>10653.125</v>
      </c>
      <c r="E105" s="373">
        <v>11275.25</v>
      </c>
      <c r="F105" s="373">
        <v>11828.315999999999</v>
      </c>
      <c r="H105" s="380">
        <f t="shared" si="10"/>
        <v>12218.65</v>
      </c>
      <c r="I105" s="380">
        <f t="shared" si="11"/>
        <v>390.33400000000074</v>
      </c>
    </row>
    <row r="106" spans="1:9" ht="14.25">
      <c r="A106" s="372" t="s">
        <v>129</v>
      </c>
      <c r="B106" s="373">
        <v>414.084</v>
      </c>
      <c r="C106" s="373">
        <v>866.25</v>
      </c>
      <c r="D106" s="373">
        <v>4966.08</v>
      </c>
      <c r="E106" s="373">
        <v>5832.33</v>
      </c>
      <c r="F106" s="373">
        <v>5992.2720000000008</v>
      </c>
      <c r="H106" s="380">
        <f t="shared" si="10"/>
        <v>6246.4139999999998</v>
      </c>
      <c r="I106" s="380">
        <f t="shared" si="11"/>
        <v>254.14199999999892</v>
      </c>
    </row>
    <row r="107" spans="1:9" ht="14.25">
      <c r="A107" s="372" t="s">
        <v>130</v>
      </c>
      <c r="B107" s="373">
        <v>390.78399999999999</v>
      </c>
      <c r="C107" s="373">
        <v>248.20000000000002</v>
      </c>
      <c r="D107" s="373">
        <v>3545.6000000000004</v>
      </c>
      <c r="E107" s="373">
        <v>3793.8</v>
      </c>
      <c r="F107" s="373">
        <v>4062.518</v>
      </c>
      <c r="H107" s="380">
        <f t="shared" si="10"/>
        <v>4184.5839999999998</v>
      </c>
      <c r="I107" s="380">
        <f t="shared" si="11"/>
        <v>122.0659999999998</v>
      </c>
    </row>
    <row r="108" spans="1:9" ht="14.25">
      <c r="A108" s="372" t="s">
        <v>131</v>
      </c>
      <c r="B108" s="373">
        <v>169.3</v>
      </c>
      <c r="C108" s="373">
        <v>185.74000000000004</v>
      </c>
      <c r="D108" s="373">
        <v>1803.8240000000003</v>
      </c>
      <c r="E108" s="373">
        <v>1989.5640000000003</v>
      </c>
      <c r="F108" s="373">
        <v>2069.9670000000001</v>
      </c>
      <c r="H108" s="380">
        <f t="shared" si="10"/>
        <v>2158.8640000000005</v>
      </c>
      <c r="I108" s="380">
        <f t="shared" si="11"/>
        <v>88.897000000000389</v>
      </c>
    </row>
    <row r="109" spans="1:9" ht="14.25">
      <c r="A109" s="372" t="s">
        <v>132</v>
      </c>
      <c r="B109" s="373">
        <v>339.76800000000003</v>
      </c>
      <c r="C109" s="373">
        <v>276.76000000000005</v>
      </c>
      <c r="D109" s="373">
        <v>4381.58</v>
      </c>
      <c r="E109" s="373">
        <v>4658.34</v>
      </c>
      <c r="F109" s="373">
        <v>4811.9879999999994</v>
      </c>
      <c r="H109" s="380">
        <f t="shared" si="10"/>
        <v>4998.1080000000002</v>
      </c>
      <c r="I109" s="380">
        <f t="shared" si="11"/>
        <v>186.1200000000008</v>
      </c>
    </row>
    <row r="110" spans="1:9" ht="14.25">
      <c r="A110" s="372" t="s">
        <v>133</v>
      </c>
      <c r="B110" s="373">
        <v>124.14600000000002</v>
      </c>
      <c r="C110" s="373">
        <v>81.885000000000005</v>
      </c>
      <c r="D110" s="373">
        <v>1328.922</v>
      </c>
      <c r="E110" s="373">
        <v>1410.807</v>
      </c>
      <c r="F110" s="373">
        <v>1485.876</v>
      </c>
      <c r="H110" s="380">
        <f t="shared" si="10"/>
        <v>1534.953</v>
      </c>
      <c r="I110" s="380">
        <f t="shared" si="11"/>
        <v>49.076999999999998</v>
      </c>
    </row>
    <row r="111" spans="1:9" ht="14.25">
      <c r="A111" s="372" t="s">
        <v>134</v>
      </c>
      <c r="B111" s="373">
        <v>170.05599999999998</v>
      </c>
      <c r="C111" s="373">
        <v>85.39200000000001</v>
      </c>
      <c r="D111" s="373">
        <v>1578.5280000000002</v>
      </c>
      <c r="E111" s="373">
        <v>1663.9200000000003</v>
      </c>
      <c r="F111" s="373">
        <v>1796.3879999999999</v>
      </c>
      <c r="H111" s="380">
        <f t="shared" si="10"/>
        <v>1833.9760000000003</v>
      </c>
      <c r="I111" s="380">
        <f t="shared" si="11"/>
        <v>37.58800000000042</v>
      </c>
    </row>
    <row r="112" spans="1:9" ht="14.25">
      <c r="A112" s="372" t="s">
        <v>135</v>
      </c>
      <c r="B112" s="373">
        <v>526.72500000000002</v>
      </c>
      <c r="C112" s="373">
        <v>414.98999999999995</v>
      </c>
      <c r="D112" s="373">
        <v>6518.2139999999999</v>
      </c>
      <c r="E112" s="373">
        <v>6933.2039999999997</v>
      </c>
      <c r="F112" s="373">
        <v>7165.5890000000009</v>
      </c>
      <c r="H112" s="380">
        <f t="shared" si="10"/>
        <v>7459.9290000000001</v>
      </c>
      <c r="I112" s="380">
        <f t="shared" si="11"/>
        <v>294.33999999999924</v>
      </c>
    </row>
    <row r="113" spans="1:19" ht="14.25">
      <c r="A113" s="372" t="s">
        <v>136</v>
      </c>
      <c r="B113" s="373">
        <v>228.38399999999999</v>
      </c>
      <c r="C113" s="373">
        <v>110.94200000000001</v>
      </c>
      <c r="D113" s="373">
        <v>1797.172</v>
      </c>
      <c r="E113" s="373">
        <v>1908.114</v>
      </c>
      <c r="F113" s="373">
        <v>2092.7220000000002</v>
      </c>
      <c r="H113" s="380">
        <f t="shared" si="10"/>
        <v>2136.498</v>
      </c>
      <c r="I113" s="380">
        <f t="shared" si="11"/>
        <v>43.77599999999984</v>
      </c>
    </row>
    <row r="114" spans="1:19" ht="14.25">
      <c r="A114" s="372" t="s">
        <v>137</v>
      </c>
      <c r="B114" s="373">
        <v>262.40500000000003</v>
      </c>
      <c r="C114" s="373">
        <v>219.61500000000001</v>
      </c>
      <c r="D114" s="373">
        <v>2801.3700000000003</v>
      </c>
      <c r="E114" s="373">
        <v>3020.9850000000006</v>
      </c>
      <c r="F114" s="373">
        <v>3231.2000000000003</v>
      </c>
      <c r="H114" s="380">
        <f t="shared" si="10"/>
        <v>3283.3900000000008</v>
      </c>
      <c r="I114" s="380">
        <f t="shared" si="11"/>
        <v>52.190000000000509</v>
      </c>
    </row>
    <row r="115" spans="1:19" ht="14.25">
      <c r="A115" s="372" t="s">
        <v>138</v>
      </c>
      <c r="B115" s="373">
        <v>395.72</v>
      </c>
      <c r="C115" s="373">
        <v>1294.482</v>
      </c>
      <c r="D115" s="373">
        <v>4720.7579999999998</v>
      </c>
      <c r="E115" s="373">
        <v>6015.24</v>
      </c>
      <c r="F115" s="373">
        <v>6205.0560000000005</v>
      </c>
      <c r="H115" s="380">
        <f t="shared" si="10"/>
        <v>6410.96</v>
      </c>
      <c r="I115" s="380">
        <f t="shared" si="11"/>
        <v>205.90399999999954</v>
      </c>
    </row>
    <row r="116" spans="1:19" ht="14.25">
      <c r="A116" s="372" t="s">
        <v>139</v>
      </c>
      <c r="B116" s="373">
        <v>592.94900000000007</v>
      </c>
      <c r="C116" s="373">
        <v>468.42</v>
      </c>
      <c r="D116" s="373">
        <v>7230.17</v>
      </c>
      <c r="E116" s="373">
        <v>7698.59</v>
      </c>
      <c r="F116" s="373">
        <v>8003.5349999999999</v>
      </c>
      <c r="H116" s="380">
        <f t="shared" si="10"/>
        <v>8291.5390000000007</v>
      </c>
      <c r="I116" s="380">
        <f t="shared" si="11"/>
        <v>288.00400000000081</v>
      </c>
    </row>
    <row r="117" spans="1:19" ht="14.25">
      <c r="A117" s="372" t="s">
        <v>140</v>
      </c>
      <c r="B117" s="373">
        <v>173.042</v>
      </c>
      <c r="C117" s="373">
        <v>92.682000000000002</v>
      </c>
      <c r="D117" s="373">
        <v>1688.1120000000001</v>
      </c>
      <c r="E117" s="373">
        <v>1780.7940000000001</v>
      </c>
      <c r="F117" s="373">
        <v>1901.5200000000002</v>
      </c>
      <c r="H117" s="380">
        <f t="shared" si="10"/>
        <v>1953.836</v>
      </c>
      <c r="I117" s="380">
        <f t="shared" si="11"/>
        <v>52.315999999999804</v>
      </c>
    </row>
    <row r="118" spans="1:19" ht="14.25">
      <c r="A118" s="374"/>
      <c r="B118" s="375"/>
      <c r="C118" s="375"/>
      <c r="D118" s="375"/>
      <c r="E118" s="375"/>
      <c r="F118" s="375"/>
      <c r="H118" s="380"/>
      <c r="I118" s="380"/>
    </row>
    <row r="119" spans="1:19" ht="14.25">
      <c r="A119" s="374" t="s">
        <v>228</v>
      </c>
      <c r="B119" s="375">
        <v>90661.635000000009</v>
      </c>
      <c r="C119" s="375">
        <v>68570.218000000023</v>
      </c>
      <c r="D119" s="375">
        <v>899385.22999999986</v>
      </c>
      <c r="E119" s="375">
        <v>967955.44800000032</v>
      </c>
      <c r="F119" s="375">
        <v>1022017.6769999999</v>
      </c>
      <c r="H119" s="381">
        <f>SUM(B119,E119)</f>
        <v>1058617.0830000003</v>
      </c>
      <c r="I119" s="381">
        <f>H119-F119</f>
        <v>36599.406000000425</v>
      </c>
    </row>
    <row r="120" spans="1:19" ht="14.25">
      <c r="A120" s="318"/>
      <c r="B120" s="318"/>
      <c r="C120" s="318"/>
      <c r="D120" s="318"/>
      <c r="E120" s="318"/>
      <c r="I120" s="380"/>
    </row>
    <row r="121" spans="1:19" ht="30" customHeight="1">
      <c r="A121" s="447" t="s">
        <v>457</v>
      </c>
      <c r="B121" s="447"/>
      <c r="C121" s="447"/>
      <c r="D121" s="447"/>
      <c r="E121" s="447"/>
      <c r="F121" s="447"/>
      <c r="H121" s="381">
        <f>SUM(H5:H117)/2</f>
        <v>1058617.0829999996</v>
      </c>
      <c r="I121" s="381">
        <f>SUM(I5:I117)/2</f>
        <v>36599.405999999988</v>
      </c>
    </row>
    <row r="122" spans="1:19" ht="30" customHeight="1">
      <c r="A122" s="447" t="s">
        <v>458</v>
      </c>
      <c r="B122" s="447"/>
      <c r="C122" s="447"/>
      <c r="D122" s="447"/>
      <c r="E122" s="447"/>
      <c r="F122" s="447"/>
      <c r="G122" s="162"/>
      <c r="H122" s="162"/>
      <c r="I122" s="162"/>
      <c r="J122" s="162"/>
      <c r="K122" s="162"/>
      <c r="L122" s="162"/>
      <c r="M122" s="162"/>
      <c r="N122" s="162"/>
      <c r="O122" s="162"/>
      <c r="P122" s="162"/>
      <c r="Q122" s="162"/>
      <c r="R122" s="162"/>
      <c r="S122" s="162"/>
    </row>
    <row r="123" spans="1:19" ht="50.1" customHeight="1">
      <c r="A123" s="447" t="s">
        <v>459</v>
      </c>
      <c r="B123" s="447"/>
      <c r="C123" s="447"/>
      <c r="D123" s="447"/>
      <c r="E123" s="447"/>
      <c r="F123" s="447"/>
      <c r="G123" s="162"/>
      <c r="H123" s="162"/>
      <c r="I123" s="162"/>
      <c r="J123" s="162"/>
      <c r="K123" s="162"/>
      <c r="L123" s="162"/>
      <c r="M123" s="162"/>
      <c r="N123" s="162"/>
      <c r="O123" s="162"/>
      <c r="P123" s="162"/>
      <c r="Q123" s="162"/>
      <c r="R123" s="162"/>
      <c r="S123" s="162"/>
    </row>
    <row r="125" spans="1:19">
      <c r="A125" s="387"/>
    </row>
    <row r="131" spans="1:6" ht="14.25">
      <c r="A131" s="382"/>
      <c r="B131" s="383"/>
      <c r="C131" s="383"/>
      <c r="D131" s="383"/>
      <c r="E131" s="383"/>
      <c r="F131" s="383"/>
    </row>
    <row r="132" spans="1:6" ht="14.25">
      <c r="A132" s="318"/>
      <c r="B132" s="318"/>
      <c r="C132" s="318"/>
      <c r="D132" s="318"/>
      <c r="E132" s="318"/>
      <c r="F132" s="318"/>
    </row>
    <row r="133" spans="1:6" ht="14.25">
      <c r="A133" s="318"/>
      <c r="B133" s="318"/>
      <c r="C133" s="318"/>
      <c r="D133" s="318"/>
      <c r="E133" s="318"/>
      <c r="F133" s="318"/>
    </row>
    <row r="134" spans="1:6" ht="14.25">
      <c r="A134" s="318"/>
      <c r="B134" s="318"/>
      <c r="C134" s="318"/>
      <c r="D134" s="318"/>
      <c r="E134" s="318"/>
      <c r="F134" s="318"/>
    </row>
    <row r="135" spans="1:6" ht="14.25">
      <c r="A135" s="318"/>
      <c r="B135" s="318"/>
      <c r="C135" s="318"/>
      <c r="D135" s="318"/>
      <c r="E135" s="318"/>
      <c r="F135" s="318"/>
    </row>
    <row r="136" spans="1:6" ht="14.25">
      <c r="A136" s="318"/>
      <c r="B136" s="318"/>
      <c r="C136" s="318"/>
      <c r="D136" s="318"/>
      <c r="E136" s="318"/>
      <c r="F136" s="318"/>
    </row>
    <row r="137" spans="1:6" ht="14.25">
      <c r="A137" s="318"/>
      <c r="B137" s="318"/>
      <c r="C137" s="318"/>
      <c r="D137" s="318"/>
      <c r="E137" s="318"/>
      <c r="F137" s="318"/>
    </row>
    <row r="138" spans="1:6" ht="14.25">
      <c r="A138" s="318"/>
      <c r="B138" s="318"/>
      <c r="C138" s="318"/>
      <c r="D138" s="318"/>
      <c r="E138" s="318"/>
      <c r="F138" s="318"/>
    </row>
    <row r="139" spans="1:6" ht="14.25">
      <c r="A139" s="318"/>
      <c r="B139" s="318"/>
      <c r="C139" s="318"/>
      <c r="D139" s="318"/>
      <c r="E139" s="318"/>
      <c r="F139" s="318"/>
    </row>
    <row r="140" spans="1:6" ht="14.25">
      <c r="A140" s="318"/>
      <c r="B140" s="318"/>
      <c r="C140" s="318"/>
      <c r="D140" s="318"/>
      <c r="E140" s="318"/>
      <c r="F140" s="318"/>
    </row>
    <row r="141" spans="1:6" ht="14.25">
      <c r="A141" s="318"/>
      <c r="B141" s="318"/>
      <c r="C141" s="318"/>
      <c r="D141" s="318"/>
      <c r="E141" s="318"/>
      <c r="F141" s="318"/>
    </row>
    <row r="142" spans="1:6" ht="14.25">
      <c r="A142" s="318"/>
      <c r="B142" s="318"/>
      <c r="C142" s="318"/>
      <c r="D142" s="318"/>
      <c r="E142" s="318"/>
      <c r="F142" s="318"/>
    </row>
    <row r="143" spans="1:6" ht="14.25">
      <c r="A143" s="318"/>
      <c r="B143" s="318"/>
      <c r="C143" s="318"/>
      <c r="D143" s="318"/>
      <c r="E143" s="318"/>
      <c r="F143" s="318"/>
    </row>
    <row r="144" spans="1:6" ht="14.25">
      <c r="A144" s="318"/>
      <c r="B144" s="318"/>
      <c r="C144" s="318"/>
      <c r="D144" s="318"/>
      <c r="E144" s="318"/>
      <c r="F144" s="318"/>
    </row>
    <row r="145" spans="1:6" ht="14.25">
      <c r="A145" s="318"/>
      <c r="B145" s="318"/>
      <c r="C145" s="318"/>
      <c r="D145" s="318"/>
      <c r="E145" s="318"/>
      <c r="F145" s="318"/>
    </row>
    <row r="146" spans="1:6" ht="14.25">
      <c r="A146" s="318"/>
      <c r="B146" s="318"/>
      <c r="C146" s="318"/>
      <c r="D146" s="318"/>
      <c r="E146" s="318"/>
      <c r="F146" s="318"/>
    </row>
    <row r="147" spans="1:6" ht="14.25">
      <c r="A147" s="318"/>
      <c r="B147" s="318"/>
      <c r="C147" s="318"/>
      <c r="D147" s="318"/>
      <c r="E147" s="318"/>
      <c r="F147" s="318"/>
    </row>
    <row r="148" spans="1:6" ht="14.25">
      <c r="A148" s="318"/>
      <c r="B148" s="318"/>
      <c r="C148" s="318"/>
      <c r="D148" s="318"/>
      <c r="E148" s="318"/>
      <c r="F148" s="318"/>
    </row>
    <row r="149" spans="1:6" ht="14.25">
      <c r="A149" s="318"/>
      <c r="B149" s="318"/>
      <c r="C149" s="318"/>
      <c r="D149" s="318"/>
      <c r="E149" s="318"/>
      <c r="F149" s="318"/>
    </row>
    <row r="150" spans="1:6" ht="14.25">
      <c r="A150" s="318"/>
      <c r="B150" s="318"/>
      <c r="C150" s="318"/>
      <c r="D150" s="318"/>
      <c r="E150" s="318"/>
      <c r="F150" s="318"/>
    </row>
    <row r="151" spans="1:6" ht="14.25">
      <c r="A151" s="318"/>
      <c r="B151" s="318"/>
      <c r="C151" s="318"/>
      <c r="D151" s="318"/>
      <c r="E151" s="318"/>
      <c r="F151" s="318"/>
    </row>
    <row r="152" spans="1:6" ht="14.25">
      <c r="A152" s="318"/>
      <c r="B152" s="318"/>
      <c r="C152" s="318"/>
      <c r="D152" s="318"/>
      <c r="E152" s="318"/>
      <c r="F152" s="318"/>
    </row>
    <row r="153" spans="1:6" ht="14.25">
      <c r="A153" s="318"/>
      <c r="B153" s="318"/>
      <c r="C153" s="318"/>
      <c r="D153" s="318"/>
      <c r="E153" s="318"/>
      <c r="F153" s="318"/>
    </row>
    <row r="154" spans="1:6" ht="14.25">
      <c r="A154" s="318"/>
      <c r="B154" s="318"/>
      <c r="C154" s="318"/>
      <c r="D154" s="318"/>
      <c r="E154" s="318"/>
      <c r="F154" s="318"/>
    </row>
    <row r="155" spans="1:6" ht="14.25">
      <c r="A155" s="318"/>
      <c r="B155" s="318"/>
      <c r="C155" s="318"/>
      <c r="D155" s="318"/>
      <c r="E155" s="318"/>
      <c r="F155" s="318"/>
    </row>
    <row r="156" spans="1:6" ht="14.25">
      <c r="A156" s="318"/>
      <c r="B156" s="318"/>
      <c r="C156" s="318"/>
      <c r="D156" s="318"/>
      <c r="E156" s="318"/>
      <c r="F156" s="318"/>
    </row>
    <row r="157" spans="1:6" ht="14.25">
      <c r="A157" s="318"/>
      <c r="B157" s="318"/>
      <c r="C157" s="318"/>
      <c r="D157" s="318"/>
      <c r="E157" s="318"/>
      <c r="F157" s="318"/>
    </row>
    <row r="158" spans="1:6" ht="14.25">
      <c r="A158" s="318"/>
      <c r="B158" s="318"/>
      <c r="C158" s="318"/>
      <c r="D158" s="318"/>
      <c r="E158" s="318"/>
      <c r="F158" s="318"/>
    </row>
    <row r="159" spans="1:6" ht="14.25">
      <c r="A159" s="318"/>
      <c r="B159" s="318"/>
      <c r="C159" s="318"/>
      <c r="D159" s="318"/>
      <c r="E159" s="318"/>
      <c r="F159" s="318"/>
    </row>
    <row r="160" spans="1:6" ht="14.25">
      <c r="A160" s="318"/>
      <c r="B160" s="318"/>
      <c r="C160" s="318"/>
      <c r="D160" s="318"/>
      <c r="E160" s="318"/>
      <c r="F160" s="318"/>
    </row>
    <row r="161" spans="1:6" ht="14.25">
      <c r="A161" s="318"/>
      <c r="B161" s="318"/>
      <c r="C161" s="318"/>
      <c r="D161" s="318"/>
      <c r="E161" s="318"/>
      <c r="F161" s="318"/>
    </row>
    <row r="162" spans="1:6" ht="14.25">
      <c r="A162" s="318"/>
      <c r="B162" s="318"/>
      <c r="C162" s="318"/>
      <c r="D162" s="318"/>
      <c r="E162" s="318"/>
      <c r="F162" s="318"/>
    </row>
    <row r="163" spans="1:6" ht="14.25">
      <c r="A163" s="318"/>
      <c r="B163" s="318"/>
      <c r="C163" s="318"/>
      <c r="D163" s="318"/>
      <c r="E163" s="318"/>
      <c r="F163" s="318"/>
    </row>
    <row r="164" spans="1:6" ht="14.25">
      <c r="A164" s="318"/>
      <c r="B164" s="318"/>
      <c r="C164" s="318"/>
      <c r="D164" s="318"/>
      <c r="E164" s="318"/>
      <c r="F164" s="318"/>
    </row>
    <row r="165" spans="1:6" ht="14.25">
      <c r="A165" s="318"/>
      <c r="B165" s="318"/>
      <c r="C165" s="318"/>
      <c r="D165" s="318"/>
      <c r="E165" s="318"/>
      <c r="F165" s="318"/>
    </row>
    <row r="166" spans="1:6" ht="14.25">
      <c r="A166" s="318"/>
      <c r="B166" s="318"/>
      <c r="C166" s="318"/>
      <c r="D166" s="318"/>
      <c r="E166" s="318"/>
      <c r="F166" s="318"/>
    </row>
    <row r="167" spans="1:6" ht="14.25">
      <c r="A167" s="318"/>
      <c r="B167" s="318"/>
      <c r="C167" s="318"/>
      <c r="D167" s="318"/>
      <c r="E167" s="318"/>
      <c r="F167" s="318"/>
    </row>
    <row r="168" spans="1:6" ht="14.25">
      <c r="A168" s="318"/>
      <c r="B168" s="318"/>
      <c r="C168" s="318"/>
      <c r="D168" s="318"/>
      <c r="E168" s="318"/>
      <c r="F168" s="318"/>
    </row>
    <row r="169" spans="1:6" ht="14.25">
      <c r="A169" s="318"/>
      <c r="B169" s="318"/>
      <c r="C169" s="318"/>
      <c r="D169" s="318"/>
      <c r="E169" s="318"/>
      <c r="F169" s="318"/>
    </row>
    <row r="170" spans="1:6" ht="14.25">
      <c r="A170" s="318"/>
      <c r="B170" s="318"/>
      <c r="C170" s="318"/>
      <c r="D170" s="318"/>
      <c r="E170" s="318"/>
      <c r="F170" s="318"/>
    </row>
    <row r="171" spans="1:6" ht="14.25">
      <c r="A171" s="318"/>
      <c r="B171" s="318"/>
      <c r="C171" s="318"/>
      <c r="D171" s="318"/>
      <c r="E171" s="318"/>
      <c r="F171" s="318"/>
    </row>
    <row r="172" spans="1:6" ht="14.25">
      <c r="A172" s="318"/>
      <c r="B172" s="318"/>
      <c r="C172" s="318"/>
      <c r="D172" s="318"/>
      <c r="E172" s="318"/>
      <c r="F172" s="318"/>
    </row>
    <row r="173" spans="1:6" ht="14.25">
      <c r="A173" s="318"/>
      <c r="B173" s="318"/>
      <c r="C173" s="318"/>
      <c r="D173" s="318"/>
      <c r="E173" s="318"/>
      <c r="F173" s="318"/>
    </row>
    <row r="174" spans="1:6" ht="14.25">
      <c r="A174" s="318"/>
      <c r="B174" s="318"/>
      <c r="C174" s="318"/>
      <c r="D174" s="318"/>
      <c r="E174" s="318"/>
      <c r="F174" s="318"/>
    </row>
    <row r="175" spans="1:6" ht="14.25">
      <c r="A175" s="318"/>
      <c r="B175" s="318"/>
      <c r="C175" s="318"/>
      <c r="D175" s="318"/>
      <c r="E175" s="318"/>
      <c r="F175" s="318"/>
    </row>
    <row r="176" spans="1:6" ht="14.25">
      <c r="A176" s="318"/>
      <c r="B176" s="318"/>
      <c r="C176" s="318"/>
      <c r="D176" s="318"/>
      <c r="E176" s="318"/>
      <c r="F176" s="318"/>
    </row>
    <row r="177" spans="1:6" ht="14.25">
      <c r="A177" s="318"/>
      <c r="B177" s="318"/>
      <c r="C177" s="318"/>
      <c r="D177" s="318"/>
      <c r="E177" s="318"/>
      <c r="F177" s="318"/>
    </row>
    <row r="178" spans="1:6" ht="14.25">
      <c r="A178" s="318"/>
      <c r="B178" s="318"/>
      <c r="C178" s="318"/>
      <c r="D178" s="318"/>
      <c r="E178" s="318"/>
      <c r="F178" s="318"/>
    </row>
    <row r="179" spans="1:6" ht="14.25">
      <c r="A179" s="318"/>
      <c r="B179" s="318"/>
      <c r="C179" s="318"/>
      <c r="D179" s="318"/>
      <c r="E179" s="318"/>
      <c r="F179" s="318"/>
    </row>
    <row r="180" spans="1:6" ht="14.25">
      <c r="A180" s="318"/>
      <c r="B180" s="318"/>
      <c r="C180" s="318"/>
      <c r="D180" s="318"/>
      <c r="E180" s="318"/>
      <c r="F180" s="318"/>
    </row>
    <row r="181" spans="1:6" ht="14.25">
      <c r="A181" s="318"/>
      <c r="B181" s="318"/>
      <c r="C181" s="318"/>
      <c r="D181" s="318"/>
      <c r="E181" s="318"/>
      <c r="F181" s="318"/>
    </row>
    <row r="182" spans="1:6" ht="14.25">
      <c r="A182" s="318"/>
      <c r="B182" s="318"/>
      <c r="C182" s="318"/>
      <c r="D182" s="318"/>
      <c r="E182" s="318"/>
      <c r="F182" s="318"/>
    </row>
    <row r="183" spans="1:6" ht="14.25">
      <c r="A183" s="318"/>
      <c r="B183" s="318"/>
      <c r="C183" s="318"/>
      <c r="D183" s="318"/>
      <c r="E183" s="318"/>
      <c r="F183" s="318"/>
    </row>
    <row r="184" spans="1:6" ht="14.25">
      <c r="A184" s="318"/>
      <c r="B184" s="318"/>
      <c r="C184" s="318"/>
      <c r="D184" s="318"/>
      <c r="E184" s="318"/>
      <c r="F184" s="318"/>
    </row>
    <row r="185" spans="1:6" ht="14.25">
      <c r="A185" s="318"/>
      <c r="B185" s="318"/>
      <c r="C185" s="318"/>
      <c r="D185" s="318"/>
      <c r="E185" s="318"/>
      <c r="F185" s="318"/>
    </row>
    <row r="186" spans="1:6" ht="14.25">
      <c r="A186" s="318"/>
      <c r="B186" s="318"/>
      <c r="C186" s="318"/>
      <c r="D186" s="318"/>
      <c r="E186" s="318"/>
      <c r="F186" s="318"/>
    </row>
    <row r="187" spans="1:6" ht="14.25">
      <c r="A187" s="318"/>
      <c r="B187" s="318"/>
      <c r="C187" s="318"/>
      <c r="D187" s="318"/>
      <c r="E187" s="318"/>
      <c r="F187" s="318"/>
    </row>
    <row r="188" spans="1:6" ht="14.25">
      <c r="A188" s="318"/>
      <c r="B188" s="318"/>
      <c r="C188" s="318"/>
      <c r="D188" s="318"/>
      <c r="E188" s="318"/>
      <c r="F188" s="318"/>
    </row>
    <row r="189" spans="1:6" ht="14.25">
      <c r="A189" s="318"/>
      <c r="B189" s="318"/>
      <c r="C189" s="318"/>
      <c r="D189" s="318"/>
      <c r="E189" s="318"/>
      <c r="F189" s="318"/>
    </row>
    <row r="190" spans="1:6" ht="14.25">
      <c r="A190" s="318"/>
      <c r="B190" s="318"/>
      <c r="C190" s="318"/>
      <c r="D190" s="318"/>
      <c r="E190" s="318"/>
      <c r="F190" s="318"/>
    </row>
    <row r="191" spans="1:6" ht="14.25">
      <c r="A191" s="318"/>
      <c r="B191" s="318"/>
      <c r="C191" s="318"/>
      <c r="D191" s="318"/>
      <c r="E191" s="318"/>
      <c r="F191" s="318"/>
    </row>
    <row r="192" spans="1:6" ht="14.25">
      <c r="A192" s="318"/>
      <c r="B192" s="318"/>
      <c r="C192" s="318"/>
      <c r="D192" s="318"/>
      <c r="E192" s="318"/>
      <c r="F192" s="318"/>
    </row>
    <row r="193" spans="1:6" ht="14.25">
      <c r="A193" s="318"/>
      <c r="B193" s="318"/>
      <c r="C193" s="318"/>
      <c r="D193" s="318"/>
      <c r="E193" s="318"/>
      <c r="F193" s="318"/>
    </row>
    <row r="194" spans="1:6" ht="14.25">
      <c r="A194" s="318"/>
      <c r="B194" s="318"/>
      <c r="C194" s="318"/>
      <c r="D194" s="318"/>
      <c r="E194" s="318"/>
      <c r="F194" s="318"/>
    </row>
    <row r="195" spans="1:6" ht="14.25">
      <c r="A195" s="318"/>
      <c r="B195" s="318"/>
      <c r="C195" s="318"/>
      <c r="D195" s="318"/>
      <c r="E195" s="318"/>
      <c r="F195" s="318"/>
    </row>
    <row r="196" spans="1:6" ht="14.25">
      <c r="A196" s="318"/>
      <c r="B196" s="318"/>
      <c r="C196" s="318"/>
      <c r="D196" s="318"/>
      <c r="E196" s="318"/>
      <c r="F196" s="318"/>
    </row>
    <row r="197" spans="1:6" ht="14.25">
      <c r="A197" s="318"/>
      <c r="B197" s="318"/>
      <c r="C197" s="318"/>
      <c r="D197" s="318"/>
      <c r="E197" s="318"/>
      <c r="F197" s="318"/>
    </row>
    <row r="198" spans="1:6" ht="14.25">
      <c r="A198" s="318"/>
      <c r="B198" s="318"/>
      <c r="C198" s="318"/>
      <c r="D198" s="318"/>
      <c r="E198" s="318"/>
      <c r="F198" s="318"/>
    </row>
    <row r="199" spans="1:6" ht="14.25">
      <c r="A199" s="318"/>
      <c r="B199" s="318"/>
      <c r="C199" s="318"/>
      <c r="D199" s="318"/>
      <c r="E199" s="318"/>
      <c r="F199" s="318"/>
    </row>
    <row r="200" spans="1:6" ht="14.25">
      <c r="A200" s="318"/>
      <c r="B200" s="318"/>
      <c r="C200" s="318"/>
      <c r="D200" s="318"/>
      <c r="E200" s="318"/>
      <c r="F200" s="318"/>
    </row>
    <row r="201" spans="1:6" ht="14.25">
      <c r="A201" s="318"/>
      <c r="B201" s="318"/>
      <c r="C201" s="318"/>
      <c r="D201" s="318"/>
      <c r="E201" s="318"/>
      <c r="F201" s="318"/>
    </row>
    <row r="202" spans="1:6" ht="14.25">
      <c r="A202" s="318"/>
      <c r="B202" s="318"/>
      <c r="C202" s="318"/>
      <c r="D202" s="318"/>
      <c r="E202" s="318"/>
      <c r="F202" s="318"/>
    </row>
    <row r="203" spans="1:6" ht="14.25">
      <c r="A203" s="318"/>
      <c r="B203" s="318"/>
      <c r="C203" s="318"/>
      <c r="D203" s="318"/>
      <c r="E203" s="318"/>
      <c r="F203" s="318"/>
    </row>
    <row r="204" spans="1:6" ht="14.25">
      <c r="A204" s="318"/>
      <c r="B204" s="318"/>
      <c r="C204" s="318"/>
      <c r="D204" s="318"/>
      <c r="E204" s="318"/>
      <c r="F204" s="318"/>
    </row>
    <row r="205" spans="1:6" ht="14.25">
      <c r="A205" s="318"/>
      <c r="B205" s="318"/>
      <c r="C205" s="318"/>
      <c r="D205" s="318"/>
      <c r="E205" s="318"/>
      <c r="F205" s="318"/>
    </row>
    <row r="206" spans="1:6" ht="14.25">
      <c r="A206" s="318"/>
      <c r="B206" s="318"/>
      <c r="C206" s="318"/>
      <c r="D206" s="318"/>
      <c r="E206" s="318"/>
      <c r="F206" s="318"/>
    </row>
    <row r="207" spans="1:6" ht="14.25">
      <c r="A207" s="318"/>
      <c r="B207" s="318"/>
      <c r="C207" s="318"/>
      <c r="D207" s="318"/>
      <c r="E207" s="318"/>
      <c r="F207" s="318"/>
    </row>
    <row r="208" spans="1:6" ht="14.25">
      <c r="A208" s="318"/>
      <c r="B208" s="318"/>
      <c r="C208" s="318"/>
      <c r="D208" s="318"/>
      <c r="E208" s="318"/>
      <c r="F208" s="318"/>
    </row>
    <row r="209" spans="1:6" ht="14.25">
      <c r="A209" s="318"/>
      <c r="B209" s="318"/>
      <c r="C209" s="318"/>
      <c r="D209" s="318"/>
      <c r="E209" s="318"/>
      <c r="F209" s="318"/>
    </row>
    <row r="210" spans="1:6" ht="14.25">
      <c r="A210" s="318"/>
      <c r="B210" s="318"/>
      <c r="C210" s="318"/>
      <c r="D210" s="318"/>
      <c r="E210" s="318"/>
      <c r="F210" s="318"/>
    </row>
    <row r="211" spans="1:6" ht="14.25">
      <c r="A211" s="318"/>
      <c r="B211" s="318"/>
      <c r="C211" s="318"/>
      <c r="D211" s="318"/>
      <c r="E211" s="318"/>
      <c r="F211" s="318"/>
    </row>
    <row r="212" spans="1:6" ht="14.25">
      <c r="A212" s="318"/>
      <c r="B212" s="318"/>
      <c r="C212" s="318"/>
      <c r="D212" s="318"/>
      <c r="E212" s="318"/>
      <c r="F212" s="318"/>
    </row>
    <row r="213" spans="1:6" ht="14.25">
      <c r="A213" s="318"/>
      <c r="B213" s="318"/>
      <c r="C213" s="318"/>
      <c r="D213" s="318"/>
      <c r="E213" s="318"/>
      <c r="F213" s="318"/>
    </row>
    <row r="214" spans="1:6" ht="14.25">
      <c r="A214" s="318"/>
      <c r="B214" s="318"/>
      <c r="C214" s="318"/>
      <c r="D214" s="318"/>
      <c r="E214" s="318"/>
      <c r="F214" s="318"/>
    </row>
    <row r="215" spans="1:6" ht="14.25">
      <c r="A215" s="318"/>
      <c r="B215" s="318"/>
      <c r="C215" s="318"/>
      <c r="D215" s="318"/>
      <c r="E215" s="318"/>
      <c r="F215" s="318"/>
    </row>
    <row r="216" spans="1:6" ht="14.25">
      <c r="A216" s="318"/>
      <c r="B216" s="318"/>
      <c r="C216" s="318"/>
      <c r="D216" s="318"/>
      <c r="E216" s="318"/>
      <c r="F216" s="318"/>
    </row>
    <row r="217" spans="1:6" ht="14.25">
      <c r="A217" s="318"/>
      <c r="B217" s="318"/>
      <c r="C217" s="318"/>
      <c r="D217" s="318"/>
      <c r="E217" s="318"/>
      <c r="F217" s="318"/>
    </row>
    <row r="218" spans="1:6" ht="14.25">
      <c r="A218" s="318"/>
      <c r="B218" s="318"/>
      <c r="C218" s="318"/>
      <c r="D218" s="318"/>
      <c r="E218" s="318"/>
      <c r="F218" s="318"/>
    </row>
    <row r="219" spans="1:6" ht="14.25">
      <c r="A219" s="318"/>
      <c r="B219" s="318"/>
      <c r="C219" s="318"/>
      <c r="D219" s="318"/>
      <c r="E219" s="318"/>
      <c r="F219" s="318"/>
    </row>
    <row r="220" spans="1:6" ht="14.25">
      <c r="A220" s="318"/>
      <c r="B220" s="318"/>
      <c r="C220" s="318"/>
      <c r="D220" s="318"/>
      <c r="E220" s="318"/>
      <c r="F220" s="318"/>
    </row>
    <row r="221" spans="1:6" ht="14.25">
      <c r="A221" s="318"/>
      <c r="B221" s="318"/>
      <c r="C221" s="318"/>
      <c r="D221" s="318"/>
      <c r="E221" s="318"/>
      <c r="F221" s="318"/>
    </row>
    <row r="222" spans="1:6" ht="14.25">
      <c r="A222" s="318"/>
      <c r="B222" s="318"/>
      <c r="C222" s="318"/>
      <c r="D222" s="318"/>
      <c r="E222" s="318"/>
      <c r="F222" s="318"/>
    </row>
    <row r="223" spans="1:6" ht="14.25">
      <c r="A223" s="318"/>
      <c r="B223" s="318"/>
      <c r="C223" s="318"/>
      <c r="D223" s="318"/>
      <c r="E223" s="318"/>
      <c r="F223" s="318"/>
    </row>
    <row r="224" spans="1:6" ht="14.25">
      <c r="A224" s="318"/>
      <c r="B224" s="318"/>
      <c r="C224" s="318"/>
      <c r="D224" s="318"/>
      <c r="E224" s="318"/>
      <c r="F224" s="318"/>
    </row>
    <row r="225" spans="1:6" ht="14.25">
      <c r="A225" s="318"/>
      <c r="B225" s="318"/>
      <c r="C225" s="318"/>
      <c r="D225" s="318"/>
      <c r="E225" s="318"/>
      <c r="F225" s="318"/>
    </row>
    <row r="226" spans="1:6" ht="14.25">
      <c r="A226" s="318"/>
      <c r="B226" s="318"/>
      <c r="C226" s="318"/>
      <c r="D226" s="318"/>
      <c r="E226" s="318"/>
      <c r="F226" s="318"/>
    </row>
    <row r="227" spans="1:6" ht="14.25">
      <c r="A227" s="318"/>
      <c r="B227" s="318"/>
      <c r="C227" s="318"/>
      <c r="D227" s="318"/>
      <c r="E227" s="318"/>
      <c r="F227" s="318"/>
    </row>
    <row r="228" spans="1:6" ht="14.25">
      <c r="A228" s="318"/>
      <c r="B228" s="318"/>
      <c r="C228" s="318"/>
      <c r="D228" s="318"/>
      <c r="E228" s="318"/>
      <c r="F228" s="318"/>
    </row>
    <row r="229" spans="1:6" ht="14.25">
      <c r="A229" s="318"/>
      <c r="B229" s="318"/>
      <c r="C229" s="318"/>
      <c r="D229" s="318"/>
      <c r="E229" s="318"/>
      <c r="F229" s="318"/>
    </row>
    <row r="230" spans="1:6" ht="14.25">
      <c r="A230" s="318"/>
      <c r="B230" s="318"/>
      <c r="C230" s="318"/>
      <c r="D230" s="318"/>
      <c r="E230" s="318"/>
      <c r="F230" s="318"/>
    </row>
    <row r="231" spans="1:6" ht="14.25">
      <c r="A231" s="318"/>
      <c r="B231" s="318"/>
      <c r="C231" s="318"/>
      <c r="D231" s="318"/>
      <c r="E231" s="318"/>
      <c r="F231" s="318"/>
    </row>
    <row r="232" spans="1:6" ht="14.25">
      <c r="A232" s="318"/>
      <c r="B232" s="318"/>
      <c r="C232" s="318"/>
      <c r="D232" s="318"/>
      <c r="E232" s="318"/>
      <c r="F232" s="318"/>
    </row>
    <row r="233" spans="1:6" ht="14.25">
      <c r="A233" s="318"/>
      <c r="B233" s="318"/>
      <c r="C233" s="318"/>
      <c r="D233" s="318"/>
      <c r="E233" s="318"/>
      <c r="F233" s="318"/>
    </row>
    <row r="234" spans="1:6" ht="14.25">
      <c r="A234" s="318"/>
      <c r="B234" s="318"/>
      <c r="C234" s="318"/>
      <c r="D234" s="318"/>
      <c r="E234" s="318"/>
      <c r="F234" s="318"/>
    </row>
    <row r="235" spans="1:6" ht="14.25">
      <c r="A235" s="318"/>
      <c r="B235" s="318"/>
      <c r="C235" s="318"/>
      <c r="D235" s="318"/>
      <c r="E235" s="318"/>
      <c r="F235" s="318"/>
    </row>
    <row r="236" spans="1:6" ht="14.25">
      <c r="A236" s="318"/>
      <c r="B236" s="318"/>
      <c r="C236" s="318"/>
      <c r="D236" s="318"/>
      <c r="E236" s="318"/>
      <c r="F236" s="318"/>
    </row>
    <row r="237" spans="1:6" ht="14.25">
      <c r="A237" s="318"/>
      <c r="B237" s="318"/>
      <c r="C237" s="318"/>
      <c r="D237" s="318"/>
      <c r="E237" s="318"/>
      <c r="F237" s="318"/>
    </row>
    <row r="238" spans="1:6" ht="14.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&amp;LNCDHHS DMH/DD/SAS QM Section - MSchwartz&amp;R&amp;F</oddFooter>
  </headerFooter>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1ECBB-8B86-4A43-9129-CF026DB04A34}">
  <dimension ref="A1:U111"/>
  <sheetViews>
    <sheetView showGridLines="0" zoomScale="80" zoomScaleNormal="80" workbookViewId="0">
      <pane xSplit="1" ySplit="5" topLeftCell="B6" activePane="bottomRight" state="frozen"/>
      <selection activeCell="B12" sqref="B12"/>
      <selection pane="topRight" activeCell="B12" sqref="B12"/>
      <selection pane="bottomLeft" activeCell="B12" sqref="B12"/>
      <selection pane="bottomRight" activeCell="N4" sqref="N4"/>
    </sheetView>
  </sheetViews>
  <sheetFormatPr defaultRowHeight="14.25"/>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c r="A1" s="322" t="s">
        <v>414</v>
      </c>
      <c r="B1" s="323"/>
      <c r="C1" s="324" t="s">
        <v>387</v>
      </c>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8">
      <c r="A2" s="160" t="s">
        <v>461</v>
      </c>
      <c r="B2" s="161"/>
      <c r="C2" s="161"/>
      <c r="D2" s="161"/>
      <c r="E2" s="161"/>
      <c r="F2" s="161"/>
      <c r="G2" s="161"/>
      <c r="H2" s="161"/>
      <c r="I2" s="161"/>
      <c r="J2" s="161"/>
      <c r="K2" s="161"/>
      <c r="L2" s="161"/>
      <c r="M2" s="161"/>
      <c r="N2" s="161"/>
      <c r="O2" s="161"/>
      <c r="P2" s="160"/>
      <c r="Q2" s="160"/>
      <c r="R2" s="160"/>
      <c r="S2" s="161"/>
    </row>
    <row r="3" spans="1:21" s="316" customFormat="1" ht="24.95" customHeight="1" thickBot="1">
      <c r="A3" s="315"/>
      <c r="B3" s="315"/>
      <c r="C3" s="315"/>
      <c r="D3" s="315"/>
      <c r="E3" s="315"/>
      <c r="F3" s="385"/>
      <c r="G3" s="315"/>
      <c r="H3" s="385"/>
      <c r="I3" s="315"/>
      <c r="J3" s="315"/>
      <c r="K3" s="315"/>
      <c r="L3" s="315"/>
      <c r="M3" s="315"/>
      <c r="N3" s="315"/>
      <c r="O3" s="315"/>
      <c r="P3" s="315"/>
      <c r="Q3" s="315"/>
      <c r="R3" s="349"/>
      <c r="S3" s="315"/>
    </row>
    <row r="4" spans="1:21" ht="20.100000000000001" customHeight="1" thickTop="1">
      <c r="B4" s="161"/>
      <c r="C4" s="161"/>
      <c r="D4" s="164" t="s">
        <v>462</v>
      </c>
      <c r="E4" s="165"/>
      <c r="F4" s="166"/>
      <c r="G4" s="166"/>
      <c r="H4" s="166"/>
      <c r="I4" s="166"/>
      <c r="J4" s="167"/>
      <c r="K4" s="317" t="s">
        <v>463</v>
      </c>
      <c r="L4" s="166"/>
      <c r="M4" s="167"/>
      <c r="N4" s="168" t="s">
        <v>464</v>
      </c>
      <c r="O4" s="169"/>
      <c r="P4" s="169"/>
      <c r="Q4" s="169"/>
      <c r="R4" s="169"/>
      <c r="S4" s="170"/>
    </row>
    <row r="5" spans="1:21" ht="71.25" customHeight="1" thickBot="1">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5" customHeight="1" thickTop="1">
      <c r="A6" s="181" t="s">
        <v>45</v>
      </c>
      <c r="B6" s="182" t="s">
        <v>14</v>
      </c>
      <c r="C6" s="183" t="s">
        <v>221</v>
      </c>
      <c r="D6" s="184">
        <v>168512</v>
      </c>
      <c r="E6" s="184">
        <v>5830</v>
      </c>
      <c r="F6" s="184">
        <v>30730</v>
      </c>
      <c r="G6" s="184">
        <v>8585</v>
      </c>
      <c r="H6" s="184">
        <v>94055</v>
      </c>
      <c r="I6" s="184">
        <v>29312</v>
      </c>
      <c r="J6" s="184">
        <f t="shared" ref="J6:J69" si="0">SUM(F6:H6)</f>
        <v>133370</v>
      </c>
      <c r="K6" s="327">
        <v>5.4000000000000006E-2</v>
      </c>
      <c r="L6" s="327">
        <v>0.17499999999999999</v>
      </c>
      <c r="M6" s="328">
        <v>0.14099999999999999</v>
      </c>
      <c r="N6" s="185">
        <f>E6*K6</f>
        <v>314.82000000000005</v>
      </c>
      <c r="O6" s="186">
        <f>F6*K6</f>
        <v>1659.4200000000003</v>
      </c>
      <c r="P6" s="186">
        <f>G6*L6</f>
        <v>1502.375</v>
      </c>
      <c r="Q6" s="186">
        <f>H6*L6</f>
        <v>16459.625</v>
      </c>
      <c r="R6" s="186">
        <f>SUM(P6:Q6)</f>
        <v>17962</v>
      </c>
      <c r="S6" s="186">
        <f>J6*M6</f>
        <v>18805.169999999998</v>
      </c>
      <c r="U6" s="350"/>
    </row>
    <row r="7" spans="1:21" ht="24.95" customHeight="1">
      <c r="A7" s="187" t="s">
        <v>118</v>
      </c>
      <c r="B7" s="188" t="s">
        <v>428</v>
      </c>
      <c r="C7" s="189" t="s">
        <v>221</v>
      </c>
      <c r="D7" s="190">
        <v>38547</v>
      </c>
      <c r="E7" s="190">
        <v>1125</v>
      </c>
      <c r="F7" s="190">
        <v>6439</v>
      </c>
      <c r="G7" s="190">
        <v>1344</v>
      </c>
      <c r="H7" s="190">
        <v>21840</v>
      </c>
      <c r="I7" s="190">
        <v>7799</v>
      </c>
      <c r="J7" s="190">
        <f t="shared" si="0"/>
        <v>29623</v>
      </c>
      <c r="K7" s="329">
        <v>4.9000000000000002E-2</v>
      </c>
      <c r="L7" s="329">
        <v>0.16500000000000001</v>
      </c>
      <c r="M7" s="330">
        <v>0.13400000000000001</v>
      </c>
      <c r="N7" s="191">
        <f t="shared" ref="N7:N70" si="1">E7*K7</f>
        <v>55.125</v>
      </c>
      <c r="O7" s="192">
        <f t="shared" ref="O7:P70" si="2">F7*K7</f>
        <v>315.51100000000002</v>
      </c>
      <c r="P7" s="192">
        <f t="shared" si="2"/>
        <v>221.76000000000002</v>
      </c>
      <c r="Q7" s="192">
        <f t="shared" ref="Q7:Q70" si="3">H7*L7</f>
        <v>3603.6000000000004</v>
      </c>
      <c r="R7" s="192">
        <f t="shared" ref="R7:R70" si="4">SUM(P7:Q7)</f>
        <v>3825.3600000000006</v>
      </c>
      <c r="S7" s="192">
        <f t="shared" ref="S7:S70" si="5">J7*M7</f>
        <v>3969.4820000000004</v>
      </c>
      <c r="U7" s="350"/>
    </row>
    <row r="8" spans="1:21" ht="24.95" customHeight="1">
      <c r="A8" s="187" t="s">
        <v>119</v>
      </c>
      <c r="B8" s="188" t="s">
        <v>428</v>
      </c>
      <c r="C8" s="189" t="s">
        <v>222</v>
      </c>
      <c r="D8" s="190">
        <v>11545</v>
      </c>
      <c r="E8" s="190">
        <v>312</v>
      </c>
      <c r="F8" s="190">
        <v>1651</v>
      </c>
      <c r="G8" s="190">
        <v>399</v>
      </c>
      <c r="H8" s="190">
        <v>6229</v>
      </c>
      <c r="I8" s="190">
        <v>2954</v>
      </c>
      <c r="J8" s="190">
        <f t="shared" si="0"/>
        <v>8279</v>
      </c>
      <c r="K8" s="329">
        <v>0.08</v>
      </c>
      <c r="L8" s="329">
        <v>0.215</v>
      </c>
      <c r="M8" s="330">
        <v>0.183</v>
      </c>
      <c r="N8" s="191">
        <f t="shared" si="1"/>
        <v>24.96</v>
      </c>
      <c r="O8" s="192">
        <f t="shared" si="2"/>
        <v>132.08000000000001</v>
      </c>
      <c r="P8" s="192">
        <f t="shared" si="2"/>
        <v>85.784999999999997</v>
      </c>
      <c r="Q8" s="192">
        <f t="shared" si="3"/>
        <v>1339.2349999999999</v>
      </c>
      <c r="R8" s="192">
        <f t="shared" si="4"/>
        <v>1425.02</v>
      </c>
      <c r="S8" s="192">
        <f t="shared" si="5"/>
        <v>1515.057</v>
      </c>
      <c r="U8" s="350"/>
    </row>
    <row r="9" spans="1:21" ht="24.95" customHeight="1">
      <c r="A9" s="187" t="s">
        <v>109</v>
      </c>
      <c r="B9" s="188" t="s">
        <v>17</v>
      </c>
      <c r="C9" s="189" t="s">
        <v>221</v>
      </c>
      <c r="D9" s="190">
        <v>25459</v>
      </c>
      <c r="E9" s="190">
        <v>759</v>
      </c>
      <c r="F9" s="190">
        <v>4304</v>
      </c>
      <c r="G9" s="190">
        <v>965</v>
      </c>
      <c r="H9" s="190">
        <v>14905</v>
      </c>
      <c r="I9" s="190">
        <v>4526</v>
      </c>
      <c r="J9" s="190">
        <f t="shared" si="0"/>
        <v>20174</v>
      </c>
      <c r="K9" s="329">
        <v>4.0999999999999995E-2</v>
      </c>
      <c r="L9" s="329">
        <v>0.16300000000000001</v>
      </c>
      <c r="M9" s="330">
        <v>0.13100000000000001</v>
      </c>
      <c r="N9" s="191">
        <f t="shared" si="1"/>
        <v>31.118999999999996</v>
      </c>
      <c r="O9" s="192">
        <f t="shared" si="2"/>
        <v>176.46399999999997</v>
      </c>
      <c r="P9" s="192">
        <f t="shared" si="2"/>
        <v>157.29500000000002</v>
      </c>
      <c r="Q9" s="192">
        <f t="shared" si="3"/>
        <v>2429.5149999999999</v>
      </c>
      <c r="R9" s="192">
        <f t="shared" si="4"/>
        <v>2586.81</v>
      </c>
      <c r="S9" s="192">
        <f t="shared" si="5"/>
        <v>2642.7940000000003</v>
      </c>
      <c r="U9" s="350"/>
    </row>
    <row r="10" spans="1:21" ht="24.95" customHeight="1">
      <c r="A10" s="187" t="s">
        <v>120</v>
      </c>
      <c r="B10" s="188" t="s">
        <v>428</v>
      </c>
      <c r="C10" s="189" t="s">
        <v>222</v>
      </c>
      <c r="D10" s="190">
        <v>27695</v>
      </c>
      <c r="E10" s="190">
        <v>687</v>
      </c>
      <c r="F10" s="190">
        <v>4207</v>
      </c>
      <c r="G10" s="190">
        <v>902</v>
      </c>
      <c r="H10" s="190">
        <v>14810</v>
      </c>
      <c r="I10" s="190">
        <v>7089</v>
      </c>
      <c r="J10" s="190">
        <f t="shared" si="0"/>
        <v>19919</v>
      </c>
      <c r="K10" s="329">
        <v>5.9000000000000004E-2</v>
      </c>
      <c r="L10" s="329">
        <v>0.18899999999999997</v>
      </c>
      <c r="M10" s="330">
        <v>0.157</v>
      </c>
      <c r="N10" s="191">
        <f t="shared" si="1"/>
        <v>40.533000000000001</v>
      </c>
      <c r="O10" s="192">
        <f t="shared" si="2"/>
        <v>248.21300000000002</v>
      </c>
      <c r="P10" s="192">
        <f t="shared" si="2"/>
        <v>170.47799999999998</v>
      </c>
      <c r="Q10" s="192">
        <f t="shared" si="3"/>
        <v>2799.0899999999997</v>
      </c>
      <c r="R10" s="192">
        <f t="shared" si="4"/>
        <v>2969.5679999999998</v>
      </c>
      <c r="S10" s="192">
        <f t="shared" si="5"/>
        <v>3127.2829999999999</v>
      </c>
      <c r="U10" s="350"/>
    </row>
    <row r="11" spans="1:21" ht="24.95" customHeight="1">
      <c r="A11" s="187" t="s">
        <v>121</v>
      </c>
      <c r="B11" s="188" t="s">
        <v>428</v>
      </c>
      <c r="C11" s="189" t="s">
        <v>222</v>
      </c>
      <c r="D11" s="190">
        <v>17934</v>
      </c>
      <c r="E11" s="190">
        <v>402</v>
      </c>
      <c r="F11" s="190">
        <v>2279</v>
      </c>
      <c r="G11" s="190">
        <v>609</v>
      </c>
      <c r="H11" s="190">
        <v>10659</v>
      </c>
      <c r="I11" s="190">
        <v>3985</v>
      </c>
      <c r="J11" s="190">
        <f t="shared" si="0"/>
        <v>13547</v>
      </c>
      <c r="K11" s="329">
        <v>7.400000000000001E-2</v>
      </c>
      <c r="L11" s="329">
        <v>0.23600000000000002</v>
      </c>
      <c r="M11" s="330">
        <v>0.2</v>
      </c>
      <c r="N11" s="191">
        <f t="shared" si="1"/>
        <v>29.748000000000005</v>
      </c>
      <c r="O11" s="192">
        <f t="shared" si="2"/>
        <v>168.64600000000002</v>
      </c>
      <c r="P11" s="192">
        <f t="shared" si="2"/>
        <v>143.72400000000002</v>
      </c>
      <c r="Q11" s="192">
        <f t="shared" si="3"/>
        <v>2515.5240000000003</v>
      </c>
      <c r="R11" s="192">
        <f t="shared" si="4"/>
        <v>2659.2480000000005</v>
      </c>
      <c r="S11" s="192">
        <f t="shared" si="5"/>
        <v>2709.4</v>
      </c>
      <c r="U11" s="350"/>
    </row>
    <row r="12" spans="1:21" ht="24.95" customHeight="1">
      <c r="A12" s="187" t="s">
        <v>69</v>
      </c>
      <c r="B12" s="188" t="s">
        <v>381</v>
      </c>
      <c r="C12" s="189" t="s">
        <v>222</v>
      </c>
      <c r="D12" s="190">
        <v>47411</v>
      </c>
      <c r="E12" s="190">
        <v>1391</v>
      </c>
      <c r="F12" s="190">
        <v>8002</v>
      </c>
      <c r="G12" s="190">
        <v>1713</v>
      </c>
      <c r="H12" s="190">
        <v>24524</v>
      </c>
      <c r="I12" s="190">
        <v>11781</v>
      </c>
      <c r="J12" s="190">
        <f t="shared" si="0"/>
        <v>34239</v>
      </c>
      <c r="K12" s="329">
        <v>4.7E-2</v>
      </c>
      <c r="L12" s="329">
        <v>0.17300000000000001</v>
      </c>
      <c r="M12" s="330">
        <v>0.13900000000000001</v>
      </c>
      <c r="N12" s="191">
        <f t="shared" si="1"/>
        <v>65.376999999999995</v>
      </c>
      <c r="O12" s="192">
        <f t="shared" si="2"/>
        <v>376.09399999999999</v>
      </c>
      <c r="P12" s="192">
        <f t="shared" si="2"/>
        <v>296.34900000000005</v>
      </c>
      <c r="Q12" s="192">
        <f t="shared" si="3"/>
        <v>4242.652</v>
      </c>
      <c r="R12" s="192">
        <f t="shared" si="4"/>
        <v>4539.0010000000002</v>
      </c>
      <c r="S12" s="192">
        <f t="shared" si="5"/>
        <v>4759.2210000000005</v>
      </c>
      <c r="U12" s="350"/>
    </row>
    <row r="13" spans="1:21" ht="24.95" customHeight="1">
      <c r="A13" s="193" t="s">
        <v>70</v>
      </c>
      <c r="B13" s="194" t="s">
        <v>381</v>
      </c>
      <c r="C13" s="195" t="s">
        <v>222</v>
      </c>
      <c r="D13" s="190">
        <v>19582</v>
      </c>
      <c r="E13" s="190">
        <v>573</v>
      </c>
      <c r="F13" s="190">
        <v>3137</v>
      </c>
      <c r="G13" s="190">
        <v>696</v>
      </c>
      <c r="H13" s="190">
        <v>11199</v>
      </c>
      <c r="I13" s="190">
        <v>3977</v>
      </c>
      <c r="J13" s="190">
        <f t="shared" si="0"/>
        <v>15032</v>
      </c>
      <c r="K13" s="329">
        <v>4.7E-2</v>
      </c>
      <c r="L13" s="329">
        <v>0.16</v>
      </c>
      <c r="M13" s="330">
        <v>0.13200000000000001</v>
      </c>
      <c r="N13" s="191">
        <f t="shared" si="1"/>
        <v>26.931000000000001</v>
      </c>
      <c r="O13" s="192">
        <f t="shared" si="2"/>
        <v>147.43899999999999</v>
      </c>
      <c r="P13" s="192">
        <f t="shared" si="2"/>
        <v>111.36</v>
      </c>
      <c r="Q13" s="192">
        <f t="shared" si="3"/>
        <v>1791.8400000000001</v>
      </c>
      <c r="R13" s="192">
        <f t="shared" si="4"/>
        <v>1903.2</v>
      </c>
      <c r="S13" s="192">
        <f t="shared" si="5"/>
        <v>1984.2240000000002</v>
      </c>
      <c r="U13" s="350"/>
    </row>
    <row r="14" spans="1:21" ht="24.95" customHeight="1">
      <c r="A14" s="193" t="s">
        <v>88</v>
      </c>
      <c r="B14" s="194" t="s">
        <v>15</v>
      </c>
      <c r="C14" s="195" t="s">
        <v>222</v>
      </c>
      <c r="D14" s="190">
        <v>34090</v>
      </c>
      <c r="E14" s="190">
        <v>1042</v>
      </c>
      <c r="F14" s="190">
        <v>5979</v>
      </c>
      <c r="G14" s="190">
        <v>1250</v>
      </c>
      <c r="H14" s="190">
        <v>18757</v>
      </c>
      <c r="I14" s="190">
        <v>7062</v>
      </c>
      <c r="J14" s="190">
        <f t="shared" si="0"/>
        <v>25986</v>
      </c>
      <c r="K14" s="329">
        <v>6.7000000000000004E-2</v>
      </c>
      <c r="L14" s="329">
        <v>0.20300000000000001</v>
      </c>
      <c r="M14" s="330">
        <v>0.16699999999999998</v>
      </c>
      <c r="N14" s="191">
        <f t="shared" si="1"/>
        <v>69.814000000000007</v>
      </c>
      <c r="O14" s="192">
        <f t="shared" si="2"/>
        <v>400.59300000000002</v>
      </c>
      <c r="P14" s="192">
        <f t="shared" si="2"/>
        <v>253.75000000000003</v>
      </c>
      <c r="Q14" s="192">
        <f t="shared" si="3"/>
        <v>3807.6710000000003</v>
      </c>
      <c r="R14" s="192">
        <f t="shared" si="4"/>
        <v>4061.4210000000003</v>
      </c>
      <c r="S14" s="192">
        <f t="shared" si="5"/>
        <v>4339.6619999999994</v>
      </c>
      <c r="U14" s="350"/>
    </row>
    <row r="15" spans="1:21" ht="24.95" customHeight="1">
      <c r="A15" s="193" t="s">
        <v>64</v>
      </c>
      <c r="B15" s="194" t="s">
        <v>381</v>
      </c>
      <c r="C15" s="195" t="s">
        <v>221</v>
      </c>
      <c r="D15" s="190">
        <v>139829</v>
      </c>
      <c r="E15" s="190">
        <v>3216</v>
      </c>
      <c r="F15" s="190">
        <v>19494</v>
      </c>
      <c r="G15" s="190">
        <v>3689</v>
      </c>
      <c r="H15" s="190">
        <v>70966</v>
      </c>
      <c r="I15" s="190">
        <v>42464</v>
      </c>
      <c r="J15" s="190">
        <f t="shared" si="0"/>
        <v>94149</v>
      </c>
      <c r="K15" s="329">
        <v>5.5999999999999994E-2</v>
      </c>
      <c r="L15" s="329">
        <v>0.159</v>
      </c>
      <c r="M15" s="330">
        <v>0.13500000000000001</v>
      </c>
      <c r="N15" s="191">
        <f t="shared" si="1"/>
        <v>180.09599999999998</v>
      </c>
      <c r="O15" s="192">
        <f t="shared" si="2"/>
        <v>1091.664</v>
      </c>
      <c r="P15" s="192">
        <f t="shared" si="2"/>
        <v>586.55100000000004</v>
      </c>
      <c r="Q15" s="192">
        <f t="shared" si="3"/>
        <v>11283.594000000001</v>
      </c>
      <c r="R15" s="192">
        <f t="shared" si="4"/>
        <v>11870.145</v>
      </c>
      <c r="S15" s="192">
        <f t="shared" si="5"/>
        <v>12710.115000000002</v>
      </c>
      <c r="U15" s="350"/>
    </row>
    <row r="16" spans="1:21" ht="24.95" customHeight="1">
      <c r="A16" s="193" t="s">
        <v>122</v>
      </c>
      <c r="B16" s="194" t="s">
        <v>428</v>
      </c>
      <c r="C16" s="195" t="s">
        <v>221</v>
      </c>
      <c r="D16" s="190">
        <v>265586</v>
      </c>
      <c r="E16" s="190">
        <v>7658</v>
      </c>
      <c r="F16" s="190">
        <v>42133</v>
      </c>
      <c r="G16" s="190">
        <v>9179</v>
      </c>
      <c r="H16" s="190">
        <v>152826</v>
      </c>
      <c r="I16" s="190">
        <v>53790</v>
      </c>
      <c r="J16" s="190">
        <f t="shared" si="0"/>
        <v>204138</v>
      </c>
      <c r="K16" s="329">
        <v>4.4000000000000004E-2</v>
      </c>
      <c r="L16" s="329">
        <v>0.16399999999999998</v>
      </c>
      <c r="M16" s="330">
        <v>0.13500000000000001</v>
      </c>
      <c r="N16" s="191">
        <f t="shared" si="1"/>
        <v>336.95200000000006</v>
      </c>
      <c r="O16" s="192">
        <f t="shared" si="2"/>
        <v>1853.8520000000001</v>
      </c>
      <c r="P16" s="192">
        <f t="shared" si="2"/>
        <v>1505.3559999999998</v>
      </c>
      <c r="Q16" s="192">
        <f t="shared" si="3"/>
        <v>25063.463999999996</v>
      </c>
      <c r="R16" s="192">
        <f t="shared" si="4"/>
        <v>26568.819999999996</v>
      </c>
      <c r="S16" s="192">
        <f t="shared" si="5"/>
        <v>27558.63</v>
      </c>
      <c r="U16" s="350"/>
    </row>
    <row r="17" spans="1:21" ht="24.95" customHeight="1">
      <c r="A17" s="193" t="s">
        <v>101</v>
      </c>
      <c r="B17" s="194" t="s">
        <v>16</v>
      </c>
      <c r="C17" s="195" t="s">
        <v>221</v>
      </c>
      <c r="D17" s="190">
        <v>92156</v>
      </c>
      <c r="E17" s="190">
        <v>2774</v>
      </c>
      <c r="F17" s="190">
        <v>15371</v>
      </c>
      <c r="G17" s="190">
        <v>4446</v>
      </c>
      <c r="H17" s="190">
        <v>50872</v>
      </c>
      <c r="I17" s="190">
        <v>18693</v>
      </c>
      <c r="J17" s="190">
        <f t="shared" si="0"/>
        <v>70689</v>
      </c>
      <c r="K17" s="329">
        <v>4.2999999999999997E-2</v>
      </c>
      <c r="L17" s="329">
        <v>0.18</v>
      </c>
      <c r="M17" s="330">
        <v>0.14699999999999999</v>
      </c>
      <c r="N17" s="191">
        <f t="shared" si="1"/>
        <v>119.282</v>
      </c>
      <c r="O17" s="192">
        <f t="shared" si="2"/>
        <v>660.95299999999997</v>
      </c>
      <c r="P17" s="192">
        <f t="shared" si="2"/>
        <v>800.28</v>
      </c>
      <c r="Q17" s="192">
        <f t="shared" si="3"/>
        <v>9156.9599999999991</v>
      </c>
      <c r="R17" s="192">
        <f t="shared" si="4"/>
        <v>9957.24</v>
      </c>
      <c r="S17" s="192">
        <f t="shared" si="5"/>
        <v>10391.282999999999</v>
      </c>
      <c r="U17" s="350"/>
    </row>
    <row r="18" spans="1:21" ht="24.95" customHeight="1">
      <c r="A18" s="193" t="s">
        <v>46</v>
      </c>
      <c r="B18" s="194" t="s">
        <v>14</v>
      </c>
      <c r="C18" s="195" t="s">
        <v>221</v>
      </c>
      <c r="D18" s="190">
        <v>213179</v>
      </c>
      <c r="E18" s="190">
        <v>7997</v>
      </c>
      <c r="F18" s="190">
        <v>43696</v>
      </c>
      <c r="G18" s="190">
        <v>9014</v>
      </c>
      <c r="H18" s="190">
        <v>123566</v>
      </c>
      <c r="I18" s="190">
        <v>28906</v>
      </c>
      <c r="J18" s="190">
        <f t="shared" si="0"/>
        <v>176276</v>
      </c>
      <c r="K18" s="329">
        <v>3.9E-2</v>
      </c>
      <c r="L18" s="329">
        <v>0.13300000000000001</v>
      </c>
      <c r="M18" s="330">
        <v>0.10400000000000001</v>
      </c>
      <c r="N18" s="191">
        <f t="shared" si="1"/>
        <v>311.88299999999998</v>
      </c>
      <c r="O18" s="192">
        <f t="shared" si="2"/>
        <v>1704.144</v>
      </c>
      <c r="P18" s="192">
        <f t="shared" si="2"/>
        <v>1198.8620000000001</v>
      </c>
      <c r="Q18" s="192">
        <f t="shared" si="3"/>
        <v>16434.278000000002</v>
      </c>
      <c r="R18" s="192">
        <f t="shared" si="4"/>
        <v>17633.140000000003</v>
      </c>
      <c r="S18" s="192">
        <f t="shared" si="5"/>
        <v>18332.704000000002</v>
      </c>
      <c r="U18" s="350"/>
    </row>
    <row r="19" spans="1:21" ht="24.95" customHeight="1">
      <c r="A19" s="193" t="s">
        <v>123</v>
      </c>
      <c r="B19" s="194" t="s">
        <v>428</v>
      </c>
      <c r="C19" s="195" t="s">
        <v>221</v>
      </c>
      <c r="D19" s="190">
        <v>83844</v>
      </c>
      <c r="E19" s="190">
        <v>2468</v>
      </c>
      <c r="F19" s="190">
        <v>13874</v>
      </c>
      <c r="G19" s="190">
        <v>3466</v>
      </c>
      <c r="H19" s="190">
        <v>47531</v>
      </c>
      <c r="I19" s="190">
        <v>16505</v>
      </c>
      <c r="J19" s="190">
        <f t="shared" si="0"/>
        <v>64871</v>
      </c>
      <c r="K19" s="329">
        <v>4.4000000000000004E-2</v>
      </c>
      <c r="L19" s="329">
        <v>0.17199999999999999</v>
      </c>
      <c r="M19" s="330">
        <v>0.13900000000000001</v>
      </c>
      <c r="N19" s="191">
        <f t="shared" si="1"/>
        <v>108.59200000000001</v>
      </c>
      <c r="O19" s="192">
        <f t="shared" si="2"/>
        <v>610.45600000000002</v>
      </c>
      <c r="P19" s="192">
        <f t="shared" si="2"/>
        <v>596.15199999999993</v>
      </c>
      <c r="Q19" s="192">
        <f t="shared" si="3"/>
        <v>8175.3319999999994</v>
      </c>
      <c r="R19" s="192">
        <f t="shared" si="4"/>
        <v>8771.4839999999986</v>
      </c>
      <c r="S19" s="192">
        <f t="shared" si="5"/>
        <v>9017.0690000000013</v>
      </c>
      <c r="U19" s="350"/>
    </row>
    <row r="20" spans="1:21" ht="24.95" customHeight="1">
      <c r="A20" s="193" t="s">
        <v>71</v>
      </c>
      <c r="B20" s="194" t="s">
        <v>381</v>
      </c>
      <c r="C20" s="195" t="s">
        <v>221</v>
      </c>
      <c r="D20" s="190">
        <v>10460</v>
      </c>
      <c r="E20" s="190">
        <v>296</v>
      </c>
      <c r="F20" s="190">
        <v>1744</v>
      </c>
      <c r="G20" s="190">
        <v>408</v>
      </c>
      <c r="H20" s="190">
        <v>6258</v>
      </c>
      <c r="I20" s="190">
        <v>1754</v>
      </c>
      <c r="J20" s="190">
        <f t="shared" si="0"/>
        <v>8410</v>
      </c>
      <c r="K20" s="329">
        <v>5.9000000000000004E-2</v>
      </c>
      <c r="L20" s="329">
        <v>0.14300000000000002</v>
      </c>
      <c r="M20" s="330">
        <v>0.11900000000000001</v>
      </c>
      <c r="N20" s="191">
        <f t="shared" si="1"/>
        <v>17.464000000000002</v>
      </c>
      <c r="O20" s="192">
        <f t="shared" si="2"/>
        <v>102.896</v>
      </c>
      <c r="P20" s="192">
        <f t="shared" si="2"/>
        <v>58.344000000000008</v>
      </c>
      <c r="Q20" s="192">
        <f t="shared" si="3"/>
        <v>894.89400000000012</v>
      </c>
      <c r="R20" s="192">
        <f t="shared" si="4"/>
        <v>953.23800000000017</v>
      </c>
      <c r="S20" s="192">
        <f t="shared" si="5"/>
        <v>1000.7900000000001</v>
      </c>
      <c r="U20" s="350"/>
    </row>
    <row r="21" spans="1:21" ht="24.95" customHeight="1">
      <c r="A21" s="193" t="s">
        <v>65</v>
      </c>
      <c r="B21" s="194" t="s">
        <v>381</v>
      </c>
      <c r="C21" s="195" t="s">
        <v>222</v>
      </c>
      <c r="D21" s="190">
        <v>71084</v>
      </c>
      <c r="E21" s="190">
        <v>1753</v>
      </c>
      <c r="F21" s="190">
        <v>10286</v>
      </c>
      <c r="G21" s="190">
        <v>2266</v>
      </c>
      <c r="H21" s="190">
        <v>38868</v>
      </c>
      <c r="I21" s="190">
        <v>17911</v>
      </c>
      <c r="J21" s="190">
        <f t="shared" si="0"/>
        <v>51420</v>
      </c>
      <c r="K21" s="329">
        <v>5.0999999999999997E-2</v>
      </c>
      <c r="L21" s="329">
        <v>0.151</v>
      </c>
      <c r="M21" s="330">
        <v>0.127</v>
      </c>
      <c r="N21" s="191">
        <f t="shared" si="1"/>
        <v>89.402999999999992</v>
      </c>
      <c r="O21" s="192">
        <f t="shared" si="2"/>
        <v>524.58600000000001</v>
      </c>
      <c r="P21" s="192">
        <f t="shared" si="2"/>
        <v>342.166</v>
      </c>
      <c r="Q21" s="192">
        <f t="shared" si="3"/>
        <v>5869.0680000000002</v>
      </c>
      <c r="R21" s="192">
        <f t="shared" si="4"/>
        <v>6211.2340000000004</v>
      </c>
      <c r="S21" s="192">
        <f t="shared" si="5"/>
        <v>6530.34</v>
      </c>
      <c r="U21" s="350"/>
    </row>
    <row r="22" spans="1:21" ht="24.95" customHeight="1">
      <c r="A22" s="193" t="s">
        <v>47</v>
      </c>
      <c r="B22" s="194" t="s">
        <v>14</v>
      </c>
      <c r="C22" s="195" t="s">
        <v>222</v>
      </c>
      <c r="D22" s="190">
        <v>23298</v>
      </c>
      <c r="E22" s="190">
        <v>639</v>
      </c>
      <c r="F22" s="190">
        <v>3505</v>
      </c>
      <c r="G22" s="190">
        <v>769</v>
      </c>
      <c r="H22" s="190">
        <v>13430</v>
      </c>
      <c r="I22" s="190">
        <v>4955</v>
      </c>
      <c r="J22" s="190">
        <f t="shared" si="0"/>
        <v>17704</v>
      </c>
      <c r="K22" s="329">
        <v>0.06</v>
      </c>
      <c r="L22" s="329">
        <v>0.153</v>
      </c>
      <c r="M22" s="330">
        <v>0.129</v>
      </c>
      <c r="N22" s="191">
        <f t="shared" si="1"/>
        <v>38.339999999999996</v>
      </c>
      <c r="O22" s="192">
        <f t="shared" si="2"/>
        <v>210.29999999999998</v>
      </c>
      <c r="P22" s="192">
        <f t="shared" si="2"/>
        <v>117.657</v>
      </c>
      <c r="Q22" s="192">
        <f t="shared" si="3"/>
        <v>2054.79</v>
      </c>
      <c r="R22" s="192">
        <f t="shared" si="4"/>
        <v>2172.4470000000001</v>
      </c>
      <c r="S22" s="192">
        <f t="shared" si="5"/>
        <v>2283.8160000000003</v>
      </c>
      <c r="U22" s="350"/>
    </row>
    <row r="23" spans="1:21" ht="24.95" customHeight="1">
      <c r="A23" s="193" t="s">
        <v>102</v>
      </c>
      <c r="B23" s="194" t="s">
        <v>16</v>
      </c>
      <c r="C23" s="195" t="s">
        <v>221</v>
      </c>
      <c r="D23" s="190">
        <v>158579</v>
      </c>
      <c r="E23" s="190">
        <v>5124</v>
      </c>
      <c r="F23" s="190">
        <v>29145</v>
      </c>
      <c r="G23" s="190">
        <v>6530</v>
      </c>
      <c r="H23" s="190">
        <v>89401</v>
      </c>
      <c r="I23" s="190">
        <v>28379</v>
      </c>
      <c r="J23" s="190">
        <f t="shared" si="0"/>
        <v>125076</v>
      </c>
      <c r="K23" s="329">
        <v>4.8000000000000001E-2</v>
      </c>
      <c r="L23" s="329">
        <v>0.16500000000000001</v>
      </c>
      <c r="M23" s="330">
        <v>0.13200000000000001</v>
      </c>
      <c r="N23" s="191">
        <f t="shared" si="1"/>
        <v>245.952</v>
      </c>
      <c r="O23" s="192">
        <f t="shared" si="2"/>
        <v>1398.96</v>
      </c>
      <c r="P23" s="192">
        <f t="shared" si="2"/>
        <v>1077.45</v>
      </c>
      <c r="Q23" s="192">
        <f t="shared" si="3"/>
        <v>14751.165000000001</v>
      </c>
      <c r="R23" s="192">
        <f t="shared" si="4"/>
        <v>15828.615000000002</v>
      </c>
      <c r="S23" s="192">
        <f t="shared" si="5"/>
        <v>16510.031999999999</v>
      </c>
      <c r="U23" s="350"/>
    </row>
    <row r="24" spans="1:21" ht="24.95" customHeight="1">
      <c r="A24" s="193" t="s">
        <v>48</v>
      </c>
      <c r="B24" s="194" t="s">
        <v>14</v>
      </c>
      <c r="C24" s="195" t="s">
        <v>221</v>
      </c>
      <c r="D24" s="190">
        <v>76264</v>
      </c>
      <c r="E24" s="190">
        <v>2050</v>
      </c>
      <c r="F24" s="190">
        <v>12017</v>
      </c>
      <c r="G24" s="190">
        <v>2332</v>
      </c>
      <c r="H24" s="190">
        <v>40020</v>
      </c>
      <c r="I24" s="190">
        <v>19845</v>
      </c>
      <c r="J24" s="190">
        <f t="shared" si="0"/>
        <v>54369</v>
      </c>
      <c r="K24" s="329">
        <v>7.2000000000000008E-2</v>
      </c>
      <c r="L24" s="329">
        <v>0.16899999999999998</v>
      </c>
      <c r="M24" s="330">
        <v>0.14199999999999999</v>
      </c>
      <c r="N24" s="191">
        <f t="shared" si="1"/>
        <v>147.60000000000002</v>
      </c>
      <c r="O24" s="192">
        <f t="shared" si="2"/>
        <v>865.22400000000005</v>
      </c>
      <c r="P24" s="192">
        <f t="shared" si="2"/>
        <v>394.10799999999995</v>
      </c>
      <c r="Q24" s="192">
        <f t="shared" si="3"/>
        <v>6763.3799999999992</v>
      </c>
      <c r="R24" s="192">
        <f t="shared" si="4"/>
        <v>7157.4879999999994</v>
      </c>
      <c r="S24" s="192">
        <f t="shared" si="5"/>
        <v>7720.3979999999992</v>
      </c>
      <c r="U24" s="350"/>
    </row>
    <row r="25" spans="1:21" ht="24.95" customHeight="1">
      <c r="A25" s="193" t="s">
        <v>124</v>
      </c>
      <c r="B25" s="194" t="s">
        <v>428</v>
      </c>
      <c r="C25" s="195" t="s">
        <v>222</v>
      </c>
      <c r="D25" s="190">
        <v>29621</v>
      </c>
      <c r="E25" s="190">
        <v>750</v>
      </c>
      <c r="F25" s="190">
        <v>4234</v>
      </c>
      <c r="G25" s="190">
        <v>860</v>
      </c>
      <c r="H25" s="190">
        <v>14927</v>
      </c>
      <c r="I25" s="190">
        <v>8850</v>
      </c>
      <c r="J25" s="190">
        <f t="shared" si="0"/>
        <v>20021</v>
      </c>
      <c r="K25" s="329">
        <v>5.4000000000000006E-2</v>
      </c>
      <c r="L25" s="329">
        <v>0.16800000000000001</v>
      </c>
      <c r="M25" s="330">
        <v>0.14000000000000001</v>
      </c>
      <c r="N25" s="191">
        <f t="shared" si="1"/>
        <v>40.500000000000007</v>
      </c>
      <c r="O25" s="192">
        <f t="shared" si="2"/>
        <v>228.63600000000002</v>
      </c>
      <c r="P25" s="192">
        <f t="shared" si="2"/>
        <v>144.48000000000002</v>
      </c>
      <c r="Q25" s="192">
        <f t="shared" si="3"/>
        <v>2507.7360000000003</v>
      </c>
      <c r="R25" s="192">
        <f t="shared" si="4"/>
        <v>2652.2160000000003</v>
      </c>
      <c r="S25" s="192">
        <f t="shared" si="5"/>
        <v>2802.94</v>
      </c>
      <c r="U25" s="350"/>
    </row>
    <row r="26" spans="1:21" ht="24.95" customHeight="1">
      <c r="A26" s="193" t="s">
        <v>72</v>
      </c>
      <c r="B26" s="194" t="s">
        <v>381</v>
      </c>
      <c r="C26" s="195" t="s">
        <v>222</v>
      </c>
      <c r="D26" s="190">
        <v>14036</v>
      </c>
      <c r="E26" s="190">
        <v>413</v>
      </c>
      <c r="F26" s="190">
        <v>2396</v>
      </c>
      <c r="G26" s="190">
        <v>476</v>
      </c>
      <c r="H26" s="190">
        <v>7315</v>
      </c>
      <c r="I26" s="190">
        <v>3436</v>
      </c>
      <c r="J26" s="190">
        <f t="shared" si="0"/>
        <v>10187</v>
      </c>
      <c r="K26" s="329">
        <v>5.5E-2</v>
      </c>
      <c r="L26" s="329">
        <v>0.14400000000000002</v>
      </c>
      <c r="M26" s="330">
        <v>0.11900000000000001</v>
      </c>
      <c r="N26" s="191">
        <f t="shared" si="1"/>
        <v>22.715</v>
      </c>
      <c r="O26" s="192">
        <f t="shared" si="2"/>
        <v>131.78</v>
      </c>
      <c r="P26" s="192">
        <f t="shared" si="2"/>
        <v>68.544000000000011</v>
      </c>
      <c r="Q26" s="192">
        <f t="shared" si="3"/>
        <v>1053.3600000000001</v>
      </c>
      <c r="R26" s="192">
        <f t="shared" si="4"/>
        <v>1121.9040000000002</v>
      </c>
      <c r="S26" s="192">
        <f t="shared" si="5"/>
        <v>1212.2530000000002</v>
      </c>
      <c r="U26" s="350"/>
    </row>
    <row r="27" spans="1:21" ht="24.95" customHeight="1">
      <c r="A27" s="193" t="s">
        <v>125</v>
      </c>
      <c r="B27" s="194" t="s">
        <v>428</v>
      </c>
      <c r="C27" s="195" t="s">
        <v>222</v>
      </c>
      <c r="D27" s="190">
        <v>11806</v>
      </c>
      <c r="E27" s="190">
        <v>304</v>
      </c>
      <c r="F27" s="190">
        <v>1724</v>
      </c>
      <c r="G27" s="190">
        <v>344</v>
      </c>
      <c r="H27" s="190">
        <v>5853</v>
      </c>
      <c r="I27" s="190">
        <v>3581</v>
      </c>
      <c r="J27" s="190">
        <f t="shared" si="0"/>
        <v>7921</v>
      </c>
      <c r="K27" s="329">
        <v>7.4999999999999997E-2</v>
      </c>
      <c r="L27" s="329">
        <v>0.184</v>
      </c>
      <c r="M27" s="330">
        <v>0.156</v>
      </c>
      <c r="N27" s="191">
        <f t="shared" si="1"/>
        <v>22.8</v>
      </c>
      <c r="O27" s="192">
        <f t="shared" si="2"/>
        <v>129.29999999999998</v>
      </c>
      <c r="P27" s="192">
        <f t="shared" si="2"/>
        <v>63.295999999999999</v>
      </c>
      <c r="Q27" s="192">
        <f t="shared" si="3"/>
        <v>1076.952</v>
      </c>
      <c r="R27" s="192">
        <f t="shared" si="4"/>
        <v>1140.248</v>
      </c>
      <c r="S27" s="192">
        <f t="shared" si="5"/>
        <v>1235.6759999999999</v>
      </c>
      <c r="U27" s="350"/>
    </row>
    <row r="28" spans="1:21" ht="24.95" customHeight="1">
      <c r="A28" s="193" t="s">
        <v>103</v>
      </c>
      <c r="B28" s="194" t="s">
        <v>16</v>
      </c>
      <c r="C28" s="195" t="s">
        <v>222</v>
      </c>
      <c r="D28" s="190">
        <v>98957</v>
      </c>
      <c r="E28" s="190">
        <v>3249</v>
      </c>
      <c r="F28" s="190">
        <v>17615</v>
      </c>
      <c r="G28" s="190">
        <v>4342</v>
      </c>
      <c r="H28" s="190">
        <v>55146</v>
      </c>
      <c r="I28" s="190">
        <v>18605</v>
      </c>
      <c r="J28" s="190">
        <f t="shared" si="0"/>
        <v>77103</v>
      </c>
      <c r="K28" s="329">
        <v>3.7999999999999999E-2</v>
      </c>
      <c r="L28" s="329">
        <v>0.15</v>
      </c>
      <c r="M28" s="330">
        <v>0.11900000000000001</v>
      </c>
      <c r="N28" s="191">
        <f t="shared" si="1"/>
        <v>123.462</v>
      </c>
      <c r="O28" s="192">
        <f t="shared" si="2"/>
        <v>669.37</v>
      </c>
      <c r="P28" s="192">
        <f t="shared" si="2"/>
        <v>651.29999999999995</v>
      </c>
      <c r="Q28" s="192">
        <f t="shared" si="3"/>
        <v>8271.9</v>
      </c>
      <c r="R28" s="192">
        <f t="shared" si="4"/>
        <v>8923.1999999999989</v>
      </c>
      <c r="S28" s="192">
        <f t="shared" si="5"/>
        <v>9175.2570000000014</v>
      </c>
      <c r="U28" s="350"/>
    </row>
    <row r="29" spans="1:21" ht="24.95" customHeight="1">
      <c r="A29" s="193" t="s">
        <v>89</v>
      </c>
      <c r="B29" s="194" t="s">
        <v>381</v>
      </c>
      <c r="C29" s="195" t="s">
        <v>222</v>
      </c>
      <c r="D29" s="190">
        <v>56474</v>
      </c>
      <c r="E29" s="190">
        <v>1793</v>
      </c>
      <c r="F29" s="190">
        <v>9924</v>
      </c>
      <c r="G29" s="190">
        <v>2315</v>
      </c>
      <c r="H29" s="190">
        <v>31627</v>
      </c>
      <c r="I29" s="190">
        <v>10815</v>
      </c>
      <c r="J29" s="190">
        <f t="shared" si="0"/>
        <v>43866</v>
      </c>
      <c r="K29" s="329">
        <v>5.5999999999999994E-2</v>
      </c>
      <c r="L29" s="329">
        <v>0.183</v>
      </c>
      <c r="M29" s="330">
        <v>0.14800000000000002</v>
      </c>
      <c r="N29" s="191">
        <f t="shared" si="1"/>
        <v>100.40799999999999</v>
      </c>
      <c r="O29" s="192">
        <f t="shared" si="2"/>
        <v>555.74399999999991</v>
      </c>
      <c r="P29" s="192">
        <f t="shared" si="2"/>
        <v>423.64499999999998</v>
      </c>
      <c r="Q29" s="192">
        <f t="shared" si="3"/>
        <v>5787.741</v>
      </c>
      <c r="R29" s="192">
        <f t="shared" si="4"/>
        <v>6211.3860000000004</v>
      </c>
      <c r="S29" s="192">
        <f t="shared" si="5"/>
        <v>6492.1680000000006</v>
      </c>
      <c r="U29" s="350"/>
    </row>
    <row r="30" spans="1:21" ht="24.95" customHeight="1">
      <c r="A30" s="193" t="s">
        <v>73</v>
      </c>
      <c r="B30" s="194" t="s">
        <v>381</v>
      </c>
      <c r="C30" s="195" t="s">
        <v>221</v>
      </c>
      <c r="D30" s="190">
        <v>103580</v>
      </c>
      <c r="E30" s="190">
        <v>4233</v>
      </c>
      <c r="F30" s="190">
        <v>22296</v>
      </c>
      <c r="G30" s="190">
        <v>4969</v>
      </c>
      <c r="H30" s="190">
        <v>54198</v>
      </c>
      <c r="I30" s="190">
        <v>17884</v>
      </c>
      <c r="J30" s="190">
        <f t="shared" si="0"/>
        <v>81463</v>
      </c>
      <c r="K30" s="329">
        <v>5.5E-2</v>
      </c>
      <c r="L30" s="329">
        <v>0.14000000000000001</v>
      </c>
      <c r="M30" s="330">
        <v>0.11599999999999999</v>
      </c>
      <c r="N30" s="191">
        <f t="shared" si="1"/>
        <v>232.815</v>
      </c>
      <c r="O30" s="192">
        <f t="shared" si="2"/>
        <v>1226.28</v>
      </c>
      <c r="P30" s="192">
        <f t="shared" si="2"/>
        <v>695.66000000000008</v>
      </c>
      <c r="Q30" s="192">
        <f t="shared" si="3"/>
        <v>7587.7200000000012</v>
      </c>
      <c r="R30" s="192">
        <f t="shared" si="4"/>
        <v>8283.380000000001</v>
      </c>
      <c r="S30" s="192">
        <f t="shared" si="5"/>
        <v>9449.7079999999987</v>
      </c>
      <c r="U30" s="350"/>
    </row>
    <row r="31" spans="1:21" ht="24.95" customHeight="1">
      <c r="A31" s="193" t="s">
        <v>41</v>
      </c>
      <c r="B31" s="194" t="s">
        <v>469</v>
      </c>
      <c r="C31" s="195" t="s">
        <v>221</v>
      </c>
      <c r="D31" s="190">
        <v>329131</v>
      </c>
      <c r="E31" s="190">
        <v>15760</v>
      </c>
      <c r="F31" s="190">
        <v>71969</v>
      </c>
      <c r="G31" s="190">
        <v>15219</v>
      </c>
      <c r="H31" s="190">
        <v>183295</v>
      </c>
      <c r="I31" s="190">
        <v>42888</v>
      </c>
      <c r="J31" s="190">
        <f t="shared" si="0"/>
        <v>270483</v>
      </c>
      <c r="K31" s="329">
        <v>3.7999999999999999E-2</v>
      </c>
      <c r="L31" s="329">
        <v>0.13699999999999998</v>
      </c>
      <c r="M31" s="330">
        <v>0.10800000000000001</v>
      </c>
      <c r="N31" s="191">
        <f t="shared" si="1"/>
        <v>598.88</v>
      </c>
      <c r="O31" s="192">
        <f t="shared" si="2"/>
        <v>2734.8220000000001</v>
      </c>
      <c r="P31" s="192">
        <f t="shared" si="2"/>
        <v>2085.0029999999997</v>
      </c>
      <c r="Q31" s="192">
        <f t="shared" si="3"/>
        <v>25111.414999999997</v>
      </c>
      <c r="R31" s="192">
        <f t="shared" si="4"/>
        <v>27196.417999999998</v>
      </c>
      <c r="S31" s="192">
        <f t="shared" si="5"/>
        <v>29212.164000000004</v>
      </c>
      <c r="U31" s="350"/>
    </row>
    <row r="32" spans="1:21" ht="24.95" customHeight="1">
      <c r="A32" s="193" t="s">
        <v>74</v>
      </c>
      <c r="B32" s="194" t="s">
        <v>381</v>
      </c>
      <c r="C32" s="195" t="s">
        <v>221</v>
      </c>
      <c r="D32" s="190">
        <v>27978</v>
      </c>
      <c r="E32" s="190">
        <v>849</v>
      </c>
      <c r="F32" s="190">
        <v>4763</v>
      </c>
      <c r="G32" s="190">
        <v>1031</v>
      </c>
      <c r="H32" s="190">
        <v>16733</v>
      </c>
      <c r="I32" s="190">
        <v>4602</v>
      </c>
      <c r="J32" s="190">
        <f t="shared" si="0"/>
        <v>22527</v>
      </c>
      <c r="K32" s="329">
        <v>6.7000000000000004E-2</v>
      </c>
      <c r="L32" s="329">
        <v>0.151</v>
      </c>
      <c r="M32" s="330">
        <v>0.128</v>
      </c>
      <c r="N32" s="191">
        <f t="shared" si="1"/>
        <v>56.883000000000003</v>
      </c>
      <c r="O32" s="192">
        <f t="shared" si="2"/>
        <v>319.12100000000004</v>
      </c>
      <c r="P32" s="192">
        <f t="shared" si="2"/>
        <v>155.68099999999998</v>
      </c>
      <c r="Q32" s="192">
        <f t="shared" si="3"/>
        <v>2526.683</v>
      </c>
      <c r="R32" s="192">
        <f t="shared" si="4"/>
        <v>2682.364</v>
      </c>
      <c r="S32" s="192">
        <f t="shared" si="5"/>
        <v>2883.4560000000001</v>
      </c>
      <c r="U32" s="350"/>
    </row>
    <row r="33" spans="1:21" ht="24.95" customHeight="1">
      <c r="A33" s="193" t="s">
        <v>75</v>
      </c>
      <c r="B33" s="194" t="s">
        <v>381</v>
      </c>
      <c r="C33" s="195" t="s">
        <v>222</v>
      </c>
      <c r="D33" s="190">
        <v>37641</v>
      </c>
      <c r="E33" s="190">
        <v>1075</v>
      </c>
      <c r="F33" s="190">
        <v>5894</v>
      </c>
      <c r="G33" s="190">
        <v>942</v>
      </c>
      <c r="H33" s="190">
        <v>21584</v>
      </c>
      <c r="I33" s="190">
        <v>8146</v>
      </c>
      <c r="J33" s="190">
        <f t="shared" si="0"/>
        <v>28420</v>
      </c>
      <c r="K33" s="329">
        <v>5.7999999999999996E-2</v>
      </c>
      <c r="L33" s="329">
        <v>0.154</v>
      </c>
      <c r="M33" s="330">
        <v>0.13</v>
      </c>
      <c r="N33" s="191">
        <f t="shared" si="1"/>
        <v>62.349999999999994</v>
      </c>
      <c r="O33" s="192">
        <f t="shared" si="2"/>
        <v>341.85199999999998</v>
      </c>
      <c r="P33" s="192">
        <f t="shared" si="2"/>
        <v>145.06800000000001</v>
      </c>
      <c r="Q33" s="192">
        <f t="shared" si="3"/>
        <v>3323.9360000000001</v>
      </c>
      <c r="R33" s="192">
        <f t="shared" si="4"/>
        <v>3469.0040000000004</v>
      </c>
      <c r="S33" s="192">
        <f t="shared" si="5"/>
        <v>3694.6</v>
      </c>
      <c r="U33" s="350"/>
    </row>
    <row r="34" spans="1:21" ht="24.95" customHeight="1">
      <c r="A34" s="193" t="s">
        <v>49</v>
      </c>
      <c r="B34" s="194" t="s">
        <v>14</v>
      </c>
      <c r="C34" s="195" t="s">
        <v>221</v>
      </c>
      <c r="D34" s="190">
        <v>168798</v>
      </c>
      <c r="E34" s="190">
        <v>5530</v>
      </c>
      <c r="F34" s="190">
        <v>30160</v>
      </c>
      <c r="G34" s="190">
        <v>6211</v>
      </c>
      <c r="H34" s="190">
        <v>96615</v>
      </c>
      <c r="I34" s="190">
        <v>30282</v>
      </c>
      <c r="J34" s="190">
        <f t="shared" si="0"/>
        <v>132986</v>
      </c>
      <c r="K34" s="329">
        <v>0.05</v>
      </c>
      <c r="L34" s="329">
        <v>0.16</v>
      </c>
      <c r="M34" s="330">
        <v>0.129</v>
      </c>
      <c r="N34" s="191">
        <f t="shared" si="1"/>
        <v>276.5</v>
      </c>
      <c r="O34" s="192">
        <f t="shared" si="2"/>
        <v>1508</v>
      </c>
      <c r="P34" s="192">
        <f t="shared" si="2"/>
        <v>993.76</v>
      </c>
      <c r="Q34" s="192">
        <f t="shared" si="3"/>
        <v>15458.4</v>
      </c>
      <c r="R34" s="192">
        <f t="shared" si="4"/>
        <v>16452.16</v>
      </c>
      <c r="S34" s="192">
        <f t="shared" si="5"/>
        <v>17155.194</v>
      </c>
      <c r="U34" s="350"/>
    </row>
    <row r="35" spans="1:21" ht="24.95" customHeight="1">
      <c r="A35" s="193" t="s">
        <v>60</v>
      </c>
      <c r="B35" s="194" t="s">
        <v>14</v>
      </c>
      <c r="C35" s="195" t="s">
        <v>221</v>
      </c>
      <c r="D35" s="190">
        <v>43700</v>
      </c>
      <c r="E35" s="190">
        <v>1248</v>
      </c>
      <c r="F35" s="190">
        <v>7288</v>
      </c>
      <c r="G35" s="190">
        <v>1601</v>
      </c>
      <c r="H35" s="190">
        <v>24551</v>
      </c>
      <c r="I35" s="190">
        <v>9012</v>
      </c>
      <c r="J35" s="190">
        <f t="shared" si="0"/>
        <v>33440</v>
      </c>
      <c r="K35" s="329">
        <v>0.06</v>
      </c>
      <c r="L35" s="329">
        <v>0.15</v>
      </c>
      <c r="M35" s="330">
        <v>0.125</v>
      </c>
      <c r="N35" s="191">
        <f t="shared" si="1"/>
        <v>74.88</v>
      </c>
      <c r="O35" s="192">
        <f t="shared" si="2"/>
        <v>437.28</v>
      </c>
      <c r="P35" s="192">
        <f t="shared" si="2"/>
        <v>240.14999999999998</v>
      </c>
      <c r="Q35" s="192">
        <f t="shared" si="3"/>
        <v>3682.65</v>
      </c>
      <c r="R35" s="192">
        <f t="shared" si="4"/>
        <v>3922.8</v>
      </c>
      <c r="S35" s="192">
        <f t="shared" si="5"/>
        <v>4180</v>
      </c>
      <c r="U35" s="350"/>
    </row>
    <row r="36" spans="1:21" ht="24.95" customHeight="1">
      <c r="A36" s="193" t="s">
        <v>90</v>
      </c>
      <c r="B36" s="194" t="s">
        <v>15</v>
      </c>
      <c r="C36" s="195" t="s">
        <v>222</v>
      </c>
      <c r="D36" s="190">
        <v>59429</v>
      </c>
      <c r="E36" s="190">
        <v>2089</v>
      </c>
      <c r="F36" s="190">
        <v>11938</v>
      </c>
      <c r="G36" s="190">
        <v>2428</v>
      </c>
      <c r="H36" s="190">
        <v>32301</v>
      </c>
      <c r="I36" s="190">
        <v>10673</v>
      </c>
      <c r="J36" s="190">
        <f t="shared" si="0"/>
        <v>46667</v>
      </c>
      <c r="K36" s="329">
        <v>7.6999999999999999E-2</v>
      </c>
      <c r="L36" s="329">
        <v>0.245</v>
      </c>
      <c r="M36" s="330">
        <v>0.19600000000000001</v>
      </c>
      <c r="N36" s="191">
        <f t="shared" si="1"/>
        <v>160.85300000000001</v>
      </c>
      <c r="O36" s="192">
        <f t="shared" si="2"/>
        <v>919.226</v>
      </c>
      <c r="P36" s="192">
        <f t="shared" si="2"/>
        <v>594.86</v>
      </c>
      <c r="Q36" s="192">
        <f t="shared" si="3"/>
        <v>7913.7449999999999</v>
      </c>
      <c r="R36" s="192">
        <f t="shared" si="4"/>
        <v>8508.6049999999996</v>
      </c>
      <c r="S36" s="192">
        <f t="shared" si="5"/>
        <v>9146.732</v>
      </c>
      <c r="U36" s="350"/>
    </row>
    <row r="37" spans="1:21" ht="24.95" customHeight="1">
      <c r="A37" s="193" t="s">
        <v>42</v>
      </c>
      <c r="B37" s="194" t="s">
        <v>469</v>
      </c>
      <c r="C37" s="195" t="s">
        <v>221</v>
      </c>
      <c r="D37" s="190">
        <v>316293</v>
      </c>
      <c r="E37" s="190">
        <v>12923</v>
      </c>
      <c r="F37" s="190">
        <v>61614</v>
      </c>
      <c r="G37" s="190">
        <v>14881</v>
      </c>
      <c r="H37" s="190">
        <v>186122</v>
      </c>
      <c r="I37" s="190">
        <v>40753</v>
      </c>
      <c r="J37" s="190">
        <f t="shared" si="0"/>
        <v>262617</v>
      </c>
      <c r="K37" s="329">
        <v>5.4000000000000006E-2</v>
      </c>
      <c r="L37" s="329">
        <v>0.16200000000000001</v>
      </c>
      <c r="M37" s="330">
        <v>0.13400000000000001</v>
      </c>
      <c r="N37" s="191">
        <f t="shared" si="1"/>
        <v>697.8420000000001</v>
      </c>
      <c r="O37" s="192">
        <f t="shared" si="2"/>
        <v>3327.1560000000004</v>
      </c>
      <c r="P37" s="192">
        <f t="shared" si="2"/>
        <v>2410.7220000000002</v>
      </c>
      <c r="Q37" s="192">
        <f t="shared" si="3"/>
        <v>30151.763999999999</v>
      </c>
      <c r="R37" s="192">
        <f t="shared" si="4"/>
        <v>32562.486000000001</v>
      </c>
      <c r="S37" s="192">
        <f t="shared" si="5"/>
        <v>35190.678</v>
      </c>
      <c r="U37" s="350"/>
    </row>
    <row r="38" spans="1:21" ht="24.95" customHeight="1">
      <c r="A38" s="193" t="s">
        <v>91</v>
      </c>
      <c r="B38" s="194" t="s">
        <v>15</v>
      </c>
      <c r="C38" s="195" t="s">
        <v>221</v>
      </c>
      <c r="D38" s="190">
        <v>52849</v>
      </c>
      <c r="E38" s="190">
        <v>1777</v>
      </c>
      <c r="F38" s="190">
        <v>10219</v>
      </c>
      <c r="G38" s="190">
        <v>2043</v>
      </c>
      <c r="H38" s="190">
        <v>28159</v>
      </c>
      <c r="I38" s="190">
        <v>10651</v>
      </c>
      <c r="J38" s="190">
        <f t="shared" si="0"/>
        <v>40421</v>
      </c>
      <c r="K38" s="329">
        <v>3.3000000000000002E-2</v>
      </c>
      <c r="L38" s="329">
        <v>0.155</v>
      </c>
      <c r="M38" s="330">
        <v>0.121</v>
      </c>
      <c r="N38" s="191">
        <f t="shared" si="1"/>
        <v>58.641000000000005</v>
      </c>
      <c r="O38" s="192">
        <f t="shared" si="2"/>
        <v>337.22700000000003</v>
      </c>
      <c r="P38" s="192">
        <f t="shared" si="2"/>
        <v>316.66500000000002</v>
      </c>
      <c r="Q38" s="192">
        <f t="shared" si="3"/>
        <v>4364.6449999999995</v>
      </c>
      <c r="R38" s="192">
        <f t="shared" si="4"/>
        <v>4681.3099999999995</v>
      </c>
      <c r="S38" s="192">
        <f t="shared" si="5"/>
        <v>4890.9409999999998</v>
      </c>
      <c r="U38" s="350"/>
    </row>
    <row r="39" spans="1:21" ht="24.95" customHeight="1">
      <c r="A39" s="193" t="s">
        <v>61</v>
      </c>
      <c r="B39" s="194" t="s">
        <v>14</v>
      </c>
      <c r="C39" s="195" t="s">
        <v>221</v>
      </c>
      <c r="D39" s="190">
        <v>381379</v>
      </c>
      <c r="E39" s="190">
        <v>13644</v>
      </c>
      <c r="F39" s="190">
        <v>73946</v>
      </c>
      <c r="G39" s="190">
        <v>16676</v>
      </c>
      <c r="H39" s="190">
        <v>216202</v>
      </c>
      <c r="I39" s="190">
        <v>60911</v>
      </c>
      <c r="J39" s="190">
        <f t="shared" si="0"/>
        <v>306824</v>
      </c>
      <c r="K39" s="329">
        <v>4.4000000000000004E-2</v>
      </c>
      <c r="L39" s="329">
        <v>0.16300000000000001</v>
      </c>
      <c r="M39" s="330">
        <v>0.129</v>
      </c>
      <c r="N39" s="191">
        <f t="shared" si="1"/>
        <v>600.33600000000001</v>
      </c>
      <c r="O39" s="192">
        <f t="shared" si="2"/>
        <v>3253.6240000000003</v>
      </c>
      <c r="P39" s="192">
        <f t="shared" si="2"/>
        <v>2718.1880000000001</v>
      </c>
      <c r="Q39" s="192">
        <f t="shared" si="3"/>
        <v>35240.925999999999</v>
      </c>
      <c r="R39" s="192">
        <f t="shared" si="4"/>
        <v>37959.114000000001</v>
      </c>
      <c r="S39" s="192">
        <f t="shared" si="5"/>
        <v>39580.296000000002</v>
      </c>
      <c r="U39" s="350"/>
    </row>
    <row r="40" spans="1:21" ht="24.95" customHeight="1">
      <c r="A40" s="193" t="s">
        <v>50</v>
      </c>
      <c r="B40" s="194" t="s">
        <v>14</v>
      </c>
      <c r="C40" s="195" t="s">
        <v>221</v>
      </c>
      <c r="D40" s="190">
        <v>68803</v>
      </c>
      <c r="E40" s="190">
        <v>2238</v>
      </c>
      <c r="F40" s="190">
        <v>12517</v>
      </c>
      <c r="G40" s="190">
        <v>2706</v>
      </c>
      <c r="H40" s="190">
        <v>39432</v>
      </c>
      <c r="I40" s="190">
        <v>11910</v>
      </c>
      <c r="J40" s="190">
        <f t="shared" si="0"/>
        <v>54655</v>
      </c>
      <c r="K40" s="329">
        <v>6.4000000000000001E-2</v>
      </c>
      <c r="L40" s="329">
        <v>0.17399999999999999</v>
      </c>
      <c r="M40" s="330">
        <v>0.14400000000000002</v>
      </c>
      <c r="N40" s="191">
        <f t="shared" si="1"/>
        <v>143.232</v>
      </c>
      <c r="O40" s="192">
        <f t="shared" si="2"/>
        <v>801.08799999999997</v>
      </c>
      <c r="P40" s="192">
        <f t="shared" si="2"/>
        <v>470.84399999999999</v>
      </c>
      <c r="Q40" s="192">
        <f t="shared" si="3"/>
        <v>6861.1679999999997</v>
      </c>
      <c r="R40" s="192">
        <f t="shared" si="4"/>
        <v>7332.0119999999997</v>
      </c>
      <c r="S40" s="192">
        <f t="shared" si="5"/>
        <v>7870.3200000000006</v>
      </c>
      <c r="U40" s="350"/>
    </row>
    <row r="41" spans="1:21" ht="24.95" customHeight="1">
      <c r="A41" s="193" t="s">
        <v>104</v>
      </c>
      <c r="B41" s="194" t="s">
        <v>16</v>
      </c>
      <c r="C41" s="195" t="s">
        <v>221</v>
      </c>
      <c r="D41" s="190">
        <v>223671</v>
      </c>
      <c r="E41" s="190">
        <v>7819</v>
      </c>
      <c r="F41" s="190">
        <v>41916</v>
      </c>
      <c r="G41" s="190">
        <v>8930</v>
      </c>
      <c r="H41" s="190">
        <v>128592</v>
      </c>
      <c r="I41" s="190">
        <v>36414</v>
      </c>
      <c r="J41" s="190">
        <f t="shared" si="0"/>
        <v>179438</v>
      </c>
      <c r="K41" s="329">
        <v>4.4000000000000004E-2</v>
      </c>
      <c r="L41" s="329">
        <v>0.14899999999999999</v>
      </c>
      <c r="M41" s="330">
        <v>0.12</v>
      </c>
      <c r="N41" s="191">
        <f t="shared" si="1"/>
        <v>344.03600000000006</v>
      </c>
      <c r="O41" s="192">
        <f t="shared" si="2"/>
        <v>1844.3040000000001</v>
      </c>
      <c r="P41" s="192">
        <f t="shared" si="2"/>
        <v>1330.57</v>
      </c>
      <c r="Q41" s="192">
        <f t="shared" si="3"/>
        <v>19160.207999999999</v>
      </c>
      <c r="R41" s="192">
        <f t="shared" si="4"/>
        <v>20490.777999999998</v>
      </c>
      <c r="S41" s="192">
        <f t="shared" si="5"/>
        <v>21532.559999999998</v>
      </c>
      <c r="U41" s="350"/>
    </row>
    <row r="42" spans="1:21" ht="24.95" customHeight="1">
      <c r="A42" s="193" t="s">
        <v>76</v>
      </c>
      <c r="B42" s="194" t="s">
        <v>381</v>
      </c>
      <c r="C42" s="195" t="s">
        <v>221</v>
      </c>
      <c r="D42" s="190">
        <v>12106</v>
      </c>
      <c r="E42" s="190">
        <v>339</v>
      </c>
      <c r="F42" s="190">
        <v>1972</v>
      </c>
      <c r="G42" s="190">
        <v>430</v>
      </c>
      <c r="H42" s="190">
        <v>6970</v>
      </c>
      <c r="I42" s="190">
        <v>2395</v>
      </c>
      <c r="J42" s="190">
        <f t="shared" si="0"/>
        <v>9372</v>
      </c>
      <c r="K42" s="329">
        <v>0.06</v>
      </c>
      <c r="L42" s="329">
        <v>0.13800000000000001</v>
      </c>
      <c r="M42" s="330">
        <v>0.11699999999999999</v>
      </c>
      <c r="N42" s="191">
        <f t="shared" si="1"/>
        <v>20.34</v>
      </c>
      <c r="O42" s="192">
        <f t="shared" si="2"/>
        <v>118.32</v>
      </c>
      <c r="P42" s="192">
        <f t="shared" si="2"/>
        <v>59.34</v>
      </c>
      <c r="Q42" s="192">
        <f t="shared" si="3"/>
        <v>961.86000000000013</v>
      </c>
      <c r="R42" s="192">
        <f t="shared" si="4"/>
        <v>1021.2000000000002</v>
      </c>
      <c r="S42" s="192">
        <f t="shared" si="5"/>
        <v>1096.5239999999999</v>
      </c>
      <c r="U42" s="350"/>
    </row>
    <row r="43" spans="1:21" ht="24.95" customHeight="1">
      <c r="A43" s="193" t="s">
        <v>126</v>
      </c>
      <c r="B43" s="194" t="s">
        <v>428</v>
      </c>
      <c r="C43" s="195" t="s">
        <v>222</v>
      </c>
      <c r="D43" s="190">
        <v>8768</v>
      </c>
      <c r="E43" s="190">
        <v>258</v>
      </c>
      <c r="F43" s="190">
        <v>1496</v>
      </c>
      <c r="G43" s="190">
        <v>351</v>
      </c>
      <c r="H43" s="190">
        <v>4517</v>
      </c>
      <c r="I43" s="190">
        <v>2146</v>
      </c>
      <c r="J43" s="190">
        <f t="shared" si="0"/>
        <v>6364</v>
      </c>
      <c r="K43" s="329">
        <v>7.2000000000000008E-2</v>
      </c>
      <c r="L43" s="329">
        <v>0.22800000000000001</v>
      </c>
      <c r="M43" s="330">
        <v>0.18600000000000003</v>
      </c>
      <c r="N43" s="191">
        <f t="shared" si="1"/>
        <v>18.576000000000001</v>
      </c>
      <c r="O43" s="192">
        <f t="shared" si="2"/>
        <v>107.71200000000002</v>
      </c>
      <c r="P43" s="192">
        <f t="shared" si="2"/>
        <v>80.028000000000006</v>
      </c>
      <c r="Q43" s="192">
        <f t="shared" si="3"/>
        <v>1029.876</v>
      </c>
      <c r="R43" s="192">
        <f t="shared" si="4"/>
        <v>1109.904</v>
      </c>
      <c r="S43" s="192">
        <f t="shared" si="5"/>
        <v>1183.7040000000002</v>
      </c>
      <c r="U43" s="350"/>
    </row>
    <row r="44" spans="1:21" ht="24.95" customHeight="1">
      <c r="A44" s="193" t="s">
        <v>51</v>
      </c>
      <c r="B44" s="194" t="s">
        <v>14</v>
      </c>
      <c r="C44" s="195" t="s">
        <v>221</v>
      </c>
      <c r="D44" s="190">
        <v>62272</v>
      </c>
      <c r="E44" s="190">
        <v>1813</v>
      </c>
      <c r="F44" s="190">
        <v>10259</v>
      </c>
      <c r="G44" s="190">
        <v>2641</v>
      </c>
      <c r="H44" s="190">
        <v>37056</v>
      </c>
      <c r="I44" s="190">
        <v>10503</v>
      </c>
      <c r="J44" s="190">
        <f t="shared" si="0"/>
        <v>49956</v>
      </c>
      <c r="K44" s="329">
        <v>4.9000000000000002E-2</v>
      </c>
      <c r="L44" s="329">
        <v>0.13900000000000001</v>
      </c>
      <c r="M44" s="330">
        <v>0.115</v>
      </c>
      <c r="N44" s="191">
        <f t="shared" si="1"/>
        <v>88.837000000000003</v>
      </c>
      <c r="O44" s="192">
        <f t="shared" si="2"/>
        <v>502.69100000000003</v>
      </c>
      <c r="P44" s="192">
        <f t="shared" si="2"/>
        <v>367.09900000000005</v>
      </c>
      <c r="Q44" s="192">
        <f t="shared" si="3"/>
        <v>5150.7840000000006</v>
      </c>
      <c r="R44" s="192">
        <f t="shared" si="4"/>
        <v>5517.8830000000007</v>
      </c>
      <c r="S44" s="192">
        <f t="shared" si="5"/>
        <v>5744.9400000000005</v>
      </c>
      <c r="U44" s="350"/>
    </row>
    <row r="45" spans="1:21" ht="24.95" customHeight="1">
      <c r="A45" s="193" t="s">
        <v>92</v>
      </c>
      <c r="B45" s="194" t="s">
        <v>15</v>
      </c>
      <c r="C45" s="195" t="s">
        <v>222</v>
      </c>
      <c r="D45" s="190">
        <v>21301</v>
      </c>
      <c r="E45" s="190">
        <v>631</v>
      </c>
      <c r="F45" s="190">
        <v>3756</v>
      </c>
      <c r="G45" s="190">
        <v>816</v>
      </c>
      <c r="H45" s="190">
        <v>12558</v>
      </c>
      <c r="I45" s="190">
        <v>3540</v>
      </c>
      <c r="J45" s="190">
        <f t="shared" si="0"/>
        <v>17130</v>
      </c>
      <c r="K45" s="329">
        <v>7.4999999999999997E-2</v>
      </c>
      <c r="L45" s="329">
        <v>0.23300000000000001</v>
      </c>
      <c r="M45" s="330">
        <v>0.188</v>
      </c>
      <c r="N45" s="191">
        <f t="shared" si="1"/>
        <v>47.324999999999996</v>
      </c>
      <c r="O45" s="192">
        <f t="shared" si="2"/>
        <v>281.7</v>
      </c>
      <c r="P45" s="192">
        <f t="shared" si="2"/>
        <v>190.12800000000001</v>
      </c>
      <c r="Q45" s="192">
        <f t="shared" si="3"/>
        <v>2926.0140000000001</v>
      </c>
      <c r="R45" s="192">
        <f t="shared" si="4"/>
        <v>3116.1420000000003</v>
      </c>
      <c r="S45" s="192">
        <f t="shared" si="5"/>
        <v>3220.44</v>
      </c>
      <c r="U45" s="350"/>
    </row>
    <row r="46" spans="1:21" ht="24.95" customHeight="1">
      <c r="A46" s="193" t="s">
        <v>110</v>
      </c>
      <c r="B46" s="194" t="s">
        <v>17</v>
      </c>
      <c r="C46" s="195" t="s">
        <v>221</v>
      </c>
      <c r="D46" s="190">
        <v>538851</v>
      </c>
      <c r="E46" s="190">
        <v>18946</v>
      </c>
      <c r="F46" s="190">
        <v>97590</v>
      </c>
      <c r="G46" s="190">
        <v>28060</v>
      </c>
      <c r="H46" s="190">
        <v>310749</v>
      </c>
      <c r="I46" s="190">
        <v>83506</v>
      </c>
      <c r="J46" s="190">
        <f t="shared" si="0"/>
        <v>436399</v>
      </c>
      <c r="K46" s="329">
        <v>4.4000000000000004E-2</v>
      </c>
      <c r="L46" s="329">
        <v>0.14699999999999999</v>
      </c>
      <c r="M46" s="330">
        <v>0.11900000000000001</v>
      </c>
      <c r="N46" s="191">
        <f t="shared" si="1"/>
        <v>833.62400000000014</v>
      </c>
      <c r="O46" s="192">
        <f t="shared" si="2"/>
        <v>4293.96</v>
      </c>
      <c r="P46" s="192">
        <f t="shared" si="2"/>
        <v>4124.82</v>
      </c>
      <c r="Q46" s="192">
        <f t="shared" si="3"/>
        <v>45680.102999999996</v>
      </c>
      <c r="R46" s="192">
        <f t="shared" si="4"/>
        <v>49804.922999999995</v>
      </c>
      <c r="S46" s="192">
        <f t="shared" si="5"/>
        <v>51931.481000000007</v>
      </c>
      <c r="U46" s="350"/>
    </row>
    <row r="47" spans="1:21" ht="24.95" customHeight="1">
      <c r="A47" s="193" t="s">
        <v>52</v>
      </c>
      <c r="B47" s="194" t="s">
        <v>14</v>
      </c>
      <c r="C47" s="195" t="s">
        <v>222</v>
      </c>
      <c r="D47" s="190">
        <v>51363</v>
      </c>
      <c r="E47" s="190">
        <v>1761</v>
      </c>
      <c r="F47" s="190">
        <v>9082</v>
      </c>
      <c r="G47" s="190">
        <v>1828</v>
      </c>
      <c r="H47" s="190">
        <v>28042</v>
      </c>
      <c r="I47" s="190">
        <v>10650</v>
      </c>
      <c r="J47" s="190">
        <f t="shared" si="0"/>
        <v>38952</v>
      </c>
      <c r="K47" s="329">
        <v>0.05</v>
      </c>
      <c r="L47" s="329">
        <v>0.16699999999999998</v>
      </c>
      <c r="M47" s="330">
        <v>0.13500000000000001</v>
      </c>
      <c r="N47" s="191">
        <f t="shared" si="1"/>
        <v>88.050000000000011</v>
      </c>
      <c r="O47" s="192">
        <f t="shared" si="2"/>
        <v>454.1</v>
      </c>
      <c r="P47" s="192">
        <f t="shared" si="2"/>
        <v>305.27599999999995</v>
      </c>
      <c r="Q47" s="192">
        <f t="shared" si="3"/>
        <v>4683.0139999999992</v>
      </c>
      <c r="R47" s="192">
        <f t="shared" si="4"/>
        <v>4988.2899999999991</v>
      </c>
      <c r="S47" s="192">
        <f t="shared" si="5"/>
        <v>5258.52</v>
      </c>
      <c r="U47" s="350"/>
    </row>
    <row r="48" spans="1:21" ht="24.95" customHeight="1">
      <c r="A48" s="193" t="s">
        <v>111</v>
      </c>
      <c r="B48" s="194" t="s">
        <v>17</v>
      </c>
      <c r="C48" s="195" t="s">
        <v>221</v>
      </c>
      <c r="D48" s="190">
        <v>136031</v>
      </c>
      <c r="E48" s="190">
        <v>5723</v>
      </c>
      <c r="F48" s="190">
        <v>30774</v>
      </c>
      <c r="G48" s="190">
        <v>6460</v>
      </c>
      <c r="H48" s="190">
        <v>75489</v>
      </c>
      <c r="I48" s="190">
        <v>17585</v>
      </c>
      <c r="J48" s="190">
        <f t="shared" si="0"/>
        <v>112723</v>
      </c>
      <c r="K48" s="329">
        <v>5.0999999999999997E-2</v>
      </c>
      <c r="L48" s="329">
        <v>0.16600000000000001</v>
      </c>
      <c r="M48" s="330">
        <v>0.13</v>
      </c>
      <c r="N48" s="191">
        <f t="shared" si="1"/>
        <v>291.87299999999999</v>
      </c>
      <c r="O48" s="192">
        <f t="shared" si="2"/>
        <v>1569.4739999999999</v>
      </c>
      <c r="P48" s="192">
        <f t="shared" si="2"/>
        <v>1072.3600000000001</v>
      </c>
      <c r="Q48" s="192">
        <f t="shared" si="3"/>
        <v>12531.174000000001</v>
      </c>
      <c r="R48" s="192">
        <f t="shared" si="4"/>
        <v>13603.534000000001</v>
      </c>
      <c r="S48" s="192">
        <f t="shared" si="5"/>
        <v>14653.99</v>
      </c>
      <c r="U48" s="350"/>
    </row>
    <row r="49" spans="1:21" ht="24.95" customHeight="1">
      <c r="A49" s="193" t="s">
        <v>127</v>
      </c>
      <c r="B49" s="194" t="s">
        <v>428</v>
      </c>
      <c r="C49" s="195" t="s">
        <v>221</v>
      </c>
      <c r="D49" s="190">
        <v>63455</v>
      </c>
      <c r="E49" s="190">
        <v>1889</v>
      </c>
      <c r="F49" s="190">
        <v>9531</v>
      </c>
      <c r="G49" s="190">
        <v>2000</v>
      </c>
      <c r="H49" s="190">
        <v>33808</v>
      </c>
      <c r="I49" s="190">
        <v>16227</v>
      </c>
      <c r="J49" s="190">
        <f t="shared" si="0"/>
        <v>45339</v>
      </c>
      <c r="K49" s="329">
        <v>4.2999999999999997E-2</v>
      </c>
      <c r="L49" s="329">
        <v>0.14499999999999999</v>
      </c>
      <c r="M49" s="330">
        <v>0.12</v>
      </c>
      <c r="N49" s="191">
        <f t="shared" si="1"/>
        <v>81.22699999999999</v>
      </c>
      <c r="O49" s="192">
        <f t="shared" si="2"/>
        <v>409.83299999999997</v>
      </c>
      <c r="P49" s="192">
        <f t="shared" si="2"/>
        <v>290</v>
      </c>
      <c r="Q49" s="192">
        <f t="shared" si="3"/>
        <v>4902.16</v>
      </c>
      <c r="R49" s="192">
        <f t="shared" si="4"/>
        <v>5192.16</v>
      </c>
      <c r="S49" s="192">
        <f t="shared" si="5"/>
        <v>5440.6799999999994</v>
      </c>
      <c r="U49" s="350"/>
    </row>
    <row r="50" spans="1:21" ht="24.95" customHeight="1">
      <c r="A50" s="193" t="s">
        <v>128</v>
      </c>
      <c r="B50" s="194" t="s">
        <v>428</v>
      </c>
      <c r="C50" s="195" t="s">
        <v>221</v>
      </c>
      <c r="D50" s="190">
        <v>118926</v>
      </c>
      <c r="E50" s="190">
        <v>3322</v>
      </c>
      <c r="F50" s="190">
        <v>18772</v>
      </c>
      <c r="G50" s="190">
        <v>3596</v>
      </c>
      <c r="H50" s="190">
        <v>61200</v>
      </c>
      <c r="I50" s="190">
        <v>32036</v>
      </c>
      <c r="J50" s="190">
        <f t="shared" si="0"/>
        <v>83568</v>
      </c>
      <c r="K50" s="329">
        <v>5.9000000000000004E-2</v>
      </c>
      <c r="L50" s="329">
        <v>0.185</v>
      </c>
      <c r="M50" s="330">
        <v>0.152</v>
      </c>
      <c r="N50" s="191">
        <f t="shared" si="1"/>
        <v>195.99800000000002</v>
      </c>
      <c r="O50" s="192">
        <f t="shared" si="2"/>
        <v>1107.548</v>
      </c>
      <c r="P50" s="192">
        <f t="shared" si="2"/>
        <v>665.26</v>
      </c>
      <c r="Q50" s="192">
        <f t="shared" si="3"/>
        <v>11322</v>
      </c>
      <c r="R50" s="192">
        <f t="shared" si="4"/>
        <v>11987.26</v>
      </c>
      <c r="S50" s="192">
        <f t="shared" si="5"/>
        <v>12702.335999999999</v>
      </c>
      <c r="U50" s="350"/>
    </row>
    <row r="51" spans="1:21" ht="24.95" customHeight="1">
      <c r="A51" s="193" t="s">
        <v>77</v>
      </c>
      <c r="B51" s="194" t="s">
        <v>381</v>
      </c>
      <c r="C51" s="195" t="s">
        <v>222</v>
      </c>
      <c r="D51" s="190">
        <v>24037</v>
      </c>
      <c r="E51" s="190">
        <v>693</v>
      </c>
      <c r="F51" s="190">
        <v>3959</v>
      </c>
      <c r="G51" s="190">
        <v>1284</v>
      </c>
      <c r="H51" s="190">
        <v>13472</v>
      </c>
      <c r="I51" s="190">
        <v>4629</v>
      </c>
      <c r="J51" s="190">
        <f t="shared" si="0"/>
        <v>18715</v>
      </c>
      <c r="K51" s="329">
        <v>3.9E-2</v>
      </c>
      <c r="L51" s="329">
        <v>0.14899999999999999</v>
      </c>
      <c r="M51" s="330">
        <v>0.11900000000000001</v>
      </c>
      <c r="N51" s="191">
        <f t="shared" si="1"/>
        <v>27.027000000000001</v>
      </c>
      <c r="O51" s="192">
        <f t="shared" si="2"/>
        <v>154.40100000000001</v>
      </c>
      <c r="P51" s="192">
        <f t="shared" si="2"/>
        <v>191.316</v>
      </c>
      <c r="Q51" s="192">
        <f t="shared" si="3"/>
        <v>2007.328</v>
      </c>
      <c r="R51" s="192">
        <f t="shared" si="4"/>
        <v>2198.6439999999998</v>
      </c>
      <c r="S51" s="192">
        <f t="shared" si="5"/>
        <v>2227.085</v>
      </c>
      <c r="U51" s="350"/>
    </row>
    <row r="52" spans="1:21" ht="24.95" customHeight="1">
      <c r="A52" s="193" t="s">
        <v>112</v>
      </c>
      <c r="B52" s="194" t="s">
        <v>17</v>
      </c>
      <c r="C52" s="195" t="s">
        <v>221</v>
      </c>
      <c r="D52" s="190">
        <v>56778</v>
      </c>
      <c r="E52" s="190">
        <v>2753</v>
      </c>
      <c r="F52" s="190">
        <v>14349</v>
      </c>
      <c r="G52" s="190">
        <v>2490</v>
      </c>
      <c r="H52" s="190">
        <v>31595</v>
      </c>
      <c r="I52" s="190">
        <v>5591</v>
      </c>
      <c r="J52" s="190">
        <f t="shared" si="0"/>
        <v>48434</v>
      </c>
      <c r="K52" s="329">
        <v>5.5999999999999994E-2</v>
      </c>
      <c r="L52" s="329">
        <v>0.20399999999999999</v>
      </c>
      <c r="M52" s="330">
        <v>0.158</v>
      </c>
      <c r="N52" s="191">
        <f t="shared" si="1"/>
        <v>154.16799999999998</v>
      </c>
      <c r="O52" s="192">
        <f t="shared" si="2"/>
        <v>803.54399999999987</v>
      </c>
      <c r="P52" s="192">
        <f t="shared" si="2"/>
        <v>507.96</v>
      </c>
      <c r="Q52" s="192">
        <f t="shared" si="3"/>
        <v>6445.3799999999992</v>
      </c>
      <c r="R52" s="192">
        <f t="shared" si="4"/>
        <v>6953.3399999999992</v>
      </c>
      <c r="S52" s="192">
        <f t="shared" si="5"/>
        <v>7652.5720000000001</v>
      </c>
      <c r="U52" s="350"/>
    </row>
    <row r="53" spans="1:21" ht="24.95" customHeight="1">
      <c r="A53" s="193" t="s">
        <v>78</v>
      </c>
      <c r="B53" s="194" t="s">
        <v>381</v>
      </c>
      <c r="C53" s="195" t="s">
        <v>222</v>
      </c>
      <c r="D53" s="190">
        <v>5424</v>
      </c>
      <c r="E53" s="190">
        <v>121</v>
      </c>
      <c r="F53" s="190">
        <v>788</v>
      </c>
      <c r="G53" s="190">
        <v>150</v>
      </c>
      <c r="H53" s="190">
        <v>3239</v>
      </c>
      <c r="I53" s="190">
        <v>1126</v>
      </c>
      <c r="J53" s="190">
        <f t="shared" si="0"/>
        <v>4177</v>
      </c>
      <c r="K53" s="329">
        <v>6.9000000000000006E-2</v>
      </c>
      <c r="L53" s="329">
        <v>0.184</v>
      </c>
      <c r="M53" s="330">
        <v>0.157</v>
      </c>
      <c r="N53" s="191">
        <f t="shared" si="1"/>
        <v>8.3490000000000002</v>
      </c>
      <c r="O53" s="192">
        <f t="shared" si="2"/>
        <v>54.372000000000007</v>
      </c>
      <c r="P53" s="192">
        <f t="shared" si="2"/>
        <v>27.599999999999998</v>
      </c>
      <c r="Q53" s="192">
        <f t="shared" si="3"/>
        <v>595.976</v>
      </c>
      <c r="R53" s="192">
        <f t="shared" si="4"/>
        <v>623.57600000000002</v>
      </c>
      <c r="S53" s="192">
        <f t="shared" si="5"/>
        <v>655.78899999999999</v>
      </c>
      <c r="U53" s="350"/>
    </row>
    <row r="54" spans="1:21" ht="24.95" customHeight="1">
      <c r="A54" s="193" t="s">
        <v>105</v>
      </c>
      <c r="B54" s="194" t="s">
        <v>16</v>
      </c>
      <c r="C54" s="195" t="s">
        <v>221</v>
      </c>
      <c r="D54" s="190">
        <v>182424</v>
      </c>
      <c r="E54" s="190">
        <v>5928</v>
      </c>
      <c r="F54" s="190">
        <v>33331</v>
      </c>
      <c r="G54" s="190">
        <v>7604</v>
      </c>
      <c r="H54" s="190">
        <v>106357</v>
      </c>
      <c r="I54" s="190">
        <v>29204</v>
      </c>
      <c r="J54" s="190">
        <f t="shared" si="0"/>
        <v>147292</v>
      </c>
      <c r="K54" s="329">
        <v>4.4999999999999998E-2</v>
      </c>
      <c r="L54" s="329">
        <v>0.14300000000000002</v>
      </c>
      <c r="M54" s="330">
        <v>0.115</v>
      </c>
      <c r="N54" s="191">
        <f t="shared" si="1"/>
        <v>266.76</v>
      </c>
      <c r="O54" s="192">
        <f t="shared" si="2"/>
        <v>1499.895</v>
      </c>
      <c r="P54" s="192">
        <f t="shared" si="2"/>
        <v>1087.3720000000001</v>
      </c>
      <c r="Q54" s="192">
        <f t="shared" si="3"/>
        <v>15209.051000000001</v>
      </c>
      <c r="R54" s="192">
        <f t="shared" si="4"/>
        <v>16296.423000000001</v>
      </c>
      <c r="S54" s="192">
        <f t="shared" si="5"/>
        <v>16938.580000000002</v>
      </c>
      <c r="U54" s="350"/>
    </row>
    <row r="55" spans="1:21" ht="24.95" customHeight="1">
      <c r="A55" s="193" t="s">
        <v>129</v>
      </c>
      <c r="B55" s="194" t="s">
        <v>428</v>
      </c>
      <c r="C55" s="195" t="s">
        <v>222</v>
      </c>
      <c r="D55" s="190">
        <v>44909</v>
      </c>
      <c r="E55" s="190">
        <v>1189</v>
      </c>
      <c r="F55" s="190">
        <v>6361</v>
      </c>
      <c r="G55" s="190">
        <v>4171</v>
      </c>
      <c r="H55" s="190">
        <v>24435</v>
      </c>
      <c r="I55" s="190">
        <v>8753</v>
      </c>
      <c r="J55" s="190">
        <f t="shared" si="0"/>
        <v>34967</v>
      </c>
      <c r="K55" s="329">
        <v>7.6999999999999999E-2</v>
      </c>
      <c r="L55" s="329">
        <v>0.214</v>
      </c>
      <c r="M55" s="330">
        <v>0.182</v>
      </c>
      <c r="N55" s="191">
        <f t="shared" si="1"/>
        <v>91.552999999999997</v>
      </c>
      <c r="O55" s="192">
        <f t="shared" si="2"/>
        <v>489.79699999999997</v>
      </c>
      <c r="P55" s="192">
        <f t="shared" si="2"/>
        <v>892.59399999999994</v>
      </c>
      <c r="Q55" s="192">
        <f t="shared" si="3"/>
        <v>5229.09</v>
      </c>
      <c r="R55" s="192">
        <f t="shared" si="4"/>
        <v>6121.6840000000002</v>
      </c>
      <c r="S55" s="192">
        <f t="shared" si="5"/>
        <v>6363.9939999999997</v>
      </c>
      <c r="U55" s="350"/>
    </row>
    <row r="56" spans="1:21" ht="24.95" customHeight="1">
      <c r="A56" s="193" t="s">
        <v>43</v>
      </c>
      <c r="B56" s="194" t="s">
        <v>469</v>
      </c>
      <c r="C56" s="195" t="s">
        <v>221</v>
      </c>
      <c r="D56" s="190">
        <v>204784</v>
      </c>
      <c r="E56" s="190">
        <v>7453</v>
      </c>
      <c r="F56" s="190">
        <v>42346</v>
      </c>
      <c r="G56" s="190">
        <v>8589</v>
      </c>
      <c r="H56" s="190">
        <v>118527</v>
      </c>
      <c r="I56" s="190">
        <v>27869</v>
      </c>
      <c r="J56" s="190">
        <f t="shared" si="0"/>
        <v>169462</v>
      </c>
      <c r="K56" s="329">
        <v>5.9000000000000004E-2</v>
      </c>
      <c r="L56" s="329">
        <v>0.17499999999999999</v>
      </c>
      <c r="M56" s="330">
        <v>0.14000000000000001</v>
      </c>
      <c r="N56" s="191">
        <f t="shared" si="1"/>
        <v>439.72700000000003</v>
      </c>
      <c r="O56" s="192">
        <f t="shared" si="2"/>
        <v>2498.4140000000002</v>
      </c>
      <c r="P56" s="192">
        <f t="shared" si="2"/>
        <v>1503.0749999999998</v>
      </c>
      <c r="Q56" s="192">
        <f t="shared" si="3"/>
        <v>20742.224999999999</v>
      </c>
      <c r="R56" s="192">
        <f t="shared" si="4"/>
        <v>22245.3</v>
      </c>
      <c r="S56" s="192">
        <f t="shared" si="5"/>
        <v>23724.680000000004</v>
      </c>
      <c r="U56" s="350"/>
    </row>
    <row r="57" spans="1:21" ht="24.95" customHeight="1">
      <c r="A57" s="193" t="s">
        <v>79</v>
      </c>
      <c r="B57" s="194" t="s">
        <v>381</v>
      </c>
      <c r="C57" s="195" t="s">
        <v>221</v>
      </c>
      <c r="D57" s="190">
        <v>10102</v>
      </c>
      <c r="E57" s="190">
        <v>310</v>
      </c>
      <c r="F57" s="190">
        <v>1654</v>
      </c>
      <c r="G57" s="190">
        <v>328</v>
      </c>
      <c r="H57" s="190">
        <v>5637</v>
      </c>
      <c r="I57" s="190">
        <v>2173</v>
      </c>
      <c r="J57" s="190">
        <f t="shared" si="0"/>
        <v>7619</v>
      </c>
      <c r="K57" s="329">
        <v>0.06</v>
      </c>
      <c r="L57" s="329">
        <v>0.18600000000000003</v>
      </c>
      <c r="M57" s="330">
        <v>0.156</v>
      </c>
      <c r="N57" s="191">
        <f t="shared" si="1"/>
        <v>18.599999999999998</v>
      </c>
      <c r="O57" s="192">
        <f t="shared" si="2"/>
        <v>99.24</v>
      </c>
      <c r="P57" s="192">
        <f t="shared" si="2"/>
        <v>61.00800000000001</v>
      </c>
      <c r="Q57" s="192">
        <f t="shared" si="3"/>
        <v>1048.4820000000002</v>
      </c>
      <c r="R57" s="192">
        <f t="shared" si="4"/>
        <v>1109.4900000000002</v>
      </c>
      <c r="S57" s="192">
        <f t="shared" si="5"/>
        <v>1188.5640000000001</v>
      </c>
      <c r="U57" s="350"/>
    </row>
    <row r="58" spans="1:21" ht="24.95" customHeight="1">
      <c r="A58" s="193" t="s">
        <v>113</v>
      </c>
      <c r="B58" s="194" t="s">
        <v>17</v>
      </c>
      <c r="C58" s="195" t="s">
        <v>222</v>
      </c>
      <c r="D58" s="190">
        <v>60452</v>
      </c>
      <c r="E58" s="190">
        <v>2366</v>
      </c>
      <c r="F58" s="190">
        <v>12559</v>
      </c>
      <c r="G58" s="190">
        <v>2445</v>
      </c>
      <c r="H58" s="190">
        <v>33034</v>
      </c>
      <c r="I58" s="190">
        <v>10048</v>
      </c>
      <c r="J58" s="190">
        <f t="shared" si="0"/>
        <v>48038</v>
      </c>
      <c r="K58" s="329">
        <v>5.5E-2</v>
      </c>
      <c r="L58" s="329">
        <v>0.19</v>
      </c>
      <c r="M58" s="330">
        <v>0.15</v>
      </c>
      <c r="N58" s="191">
        <f t="shared" si="1"/>
        <v>130.13</v>
      </c>
      <c r="O58" s="192">
        <f t="shared" si="2"/>
        <v>690.745</v>
      </c>
      <c r="P58" s="192">
        <f t="shared" si="2"/>
        <v>464.55</v>
      </c>
      <c r="Q58" s="192">
        <f t="shared" si="3"/>
        <v>6276.46</v>
      </c>
      <c r="R58" s="192">
        <f t="shared" si="4"/>
        <v>6741.01</v>
      </c>
      <c r="S58" s="192">
        <f t="shared" si="5"/>
        <v>7205.7</v>
      </c>
      <c r="U58" s="350"/>
    </row>
    <row r="59" spans="1:21" ht="24.95" customHeight="1">
      <c r="A59" s="193" t="s">
        <v>93</v>
      </c>
      <c r="B59" s="194" t="s">
        <v>15</v>
      </c>
      <c r="C59" s="195" t="s">
        <v>222</v>
      </c>
      <c r="D59" s="190">
        <v>57118</v>
      </c>
      <c r="E59" s="190">
        <v>1944</v>
      </c>
      <c r="F59" s="190">
        <v>10507</v>
      </c>
      <c r="G59" s="190">
        <v>2213</v>
      </c>
      <c r="H59" s="190">
        <v>31092</v>
      </c>
      <c r="I59" s="190">
        <v>11362</v>
      </c>
      <c r="J59" s="190">
        <f t="shared" si="0"/>
        <v>43812</v>
      </c>
      <c r="K59" s="329">
        <v>4.4000000000000004E-2</v>
      </c>
      <c r="L59" s="329">
        <v>0.16899999999999998</v>
      </c>
      <c r="M59" s="330">
        <v>0.13500000000000001</v>
      </c>
      <c r="N59" s="191">
        <f t="shared" si="1"/>
        <v>85.536000000000016</v>
      </c>
      <c r="O59" s="192">
        <f t="shared" si="2"/>
        <v>462.30800000000005</v>
      </c>
      <c r="P59" s="192">
        <f t="shared" si="2"/>
        <v>373.99699999999996</v>
      </c>
      <c r="Q59" s="192">
        <f t="shared" si="3"/>
        <v>5254.5479999999998</v>
      </c>
      <c r="R59" s="192">
        <f t="shared" si="4"/>
        <v>5628.5450000000001</v>
      </c>
      <c r="S59" s="192">
        <f t="shared" si="5"/>
        <v>5914.6200000000008</v>
      </c>
      <c r="U59" s="350"/>
    </row>
    <row r="60" spans="1:21" ht="24.95" customHeight="1">
      <c r="A60" s="193" t="s">
        <v>106</v>
      </c>
      <c r="B60" s="194" t="s">
        <v>16</v>
      </c>
      <c r="C60" s="195" t="s">
        <v>221</v>
      </c>
      <c r="D60" s="190">
        <v>86039</v>
      </c>
      <c r="E60" s="190">
        <v>2521</v>
      </c>
      <c r="F60" s="190">
        <v>14719</v>
      </c>
      <c r="G60" s="190">
        <v>3183</v>
      </c>
      <c r="H60" s="190">
        <v>50217</v>
      </c>
      <c r="I60" s="190">
        <v>15399</v>
      </c>
      <c r="J60" s="190">
        <f t="shared" si="0"/>
        <v>68119</v>
      </c>
      <c r="K60" s="329">
        <v>5.5E-2</v>
      </c>
      <c r="L60" s="329">
        <v>0.152</v>
      </c>
      <c r="M60" s="330">
        <v>0.127</v>
      </c>
      <c r="N60" s="191">
        <f t="shared" si="1"/>
        <v>138.655</v>
      </c>
      <c r="O60" s="192">
        <f t="shared" si="2"/>
        <v>809.54499999999996</v>
      </c>
      <c r="P60" s="192">
        <f t="shared" si="2"/>
        <v>483.81599999999997</v>
      </c>
      <c r="Q60" s="192">
        <f t="shared" si="3"/>
        <v>7632.9839999999995</v>
      </c>
      <c r="R60" s="192">
        <f t="shared" si="4"/>
        <v>8116.7999999999993</v>
      </c>
      <c r="S60" s="192">
        <f t="shared" si="5"/>
        <v>8651.1129999999994</v>
      </c>
      <c r="U60" s="350"/>
    </row>
    <row r="61" spans="1:21" ht="24.95" customHeight="1">
      <c r="A61" s="193" t="s">
        <v>130</v>
      </c>
      <c r="B61" s="194" t="s">
        <v>428</v>
      </c>
      <c r="C61" s="195" t="s">
        <v>222</v>
      </c>
      <c r="D61" s="190">
        <v>36640</v>
      </c>
      <c r="E61" s="190">
        <v>1086</v>
      </c>
      <c r="F61" s="190">
        <v>5602</v>
      </c>
      <c r="G61" s="190">
        <v>1311</v>
      </c>
      <c r="H61" s="190">
        <v>18090</v>
      </c>
      <c r="I61" s="190">
        <v>10551</v>
      </c>
      <c r="J61" s="190">
        <f t="shared" si="0"/>
        <v>25003</v>
      </c>
      <c r="K61" s="329">
        <v>6.7000000000000004E-2</v>
      </c>
      <c r="L61" s="329">
        <v>0.188</v>
      </c>
      <c r="M61" s="330">
        <v>0.156</v>
      </c>
      <c r="N61" s="191">
        <f t="shared" si="1"/>
        <v>72.762</v>
      </c>
      <c r="O61" s="192">
        <f t="shared" si="2"/>
        <v>375.334</v>
      </c>
      <c r="P61" s="192">
        <f t="shared" si="2"/>
        <v>246.46799999999999</v>
      </c>
      <c r="Q61" s="192">
        <f t="shared" si="3"/>
        <v>3400.92</v>
      </c>
      <c r="R61" s="192">
        <f t="shared" si="4"/>
        <v>3647.3879999999999</v>
      </c>
      <c r="S61" s="192">
        <f t="shared" si="5"/>
        <v>3900.4679999999998</v>
      </c>
      <c r="U61" s="350"/>
    </row>
    <row r="62" spans="1:21" ht="24.95" customHeight="1">
      <c r="A62" s="193" t="s">
        <v>131</v>
      </c>
      <c r="B62" s="194" t="s">
        <v>428</v>
      </c>
      <c r="C62" s="195" t="s">
        <v>221</v>
      </c>
      <c r="D62" s="190">
        <v>22794</v>
      </c>
      <c r="E62" s="190">
        <v>599</v>
      </c>
      <c r="F62" s="190">
        <v>3385</v>
      </c>
      <c r="G62" s="190">
        <v>1369</v>
      </c>
      <c r="H62" s="190">
        <v>12206</v>
      </c>
      <c r="I62" s="190">
        <v>5235</v>
      </c>
      <c r="J62" s="190">
        <f t="shared" si="0"/>
        <v>16960</v>
      </c>
      <c r="K62" s="329">
        <v>5.2999999999999999E-2</v>
      </c>
      <c r="L62" s="329">
        <v>0.15</v>
      </c>
      <c r="M62" s="330">
        <v>0.126</v>
      </c>
      <c r="N62" s="191">
        <f t="shared" si="1"/>
        <v>31.747</v>
      </c>
      <c r="O62" s="192">
        <f t="shared" si="2"/>
        <v>179.405</v>
      </c>
      <c r="P62" s="192">
        <f t="shared" si="2"/>
        <v>205.35</v>
      </c>
      <c r="Q62" s="192">
        <f t="shared" si="3"/>
        <v>1830.8999999999999</v>
      </c>
      <c r="R62" s="192">
        <f t="shared" si="4"/>
        <v>2036.2499999999998</v>
      </c>
      <c r="S62" s="192">
        <f t="shared" si="5"/>
        <v>2136.96</v>
      </c>
      <c r="U62" s="350"/>
    </row>
    <row r="63" spans="1:21" ht="24.95" customHeight="1">
      <c r="A63" s="193" t="s">
        <v>80</v>
      </c>
      <c r="B63" s="194" t="s">
        <v>381</v>
      </c>
      <c r="C63" s="195" t="s">
        <v>222</v>
      </c>
      <c r="D63" s="190">
        <v>23181</v>
      </c>
      <c r="E63" s="190">
        <v>773</v>
      </c>
      <c r="F63" s="190">
        <v>3885</v>
      </c>
      <c r="G63" s="190">
        <v>772</v>
      </c>
      <c r="H63" s="190">
        <v>12414</v>
      </c>
      <c r="I63" s="190">
        <v>5337</v>
      </c>
      <c r="J63" s="190">
        <f t="shared" si="0"/>
        <v>17071</v>
      </c>
      <c r="K63" s="329">
        <v>0.04</v>
      </c>
      <c r="L63" s="329">
        <v>0.13400000000000001</v>
      </c>
      <c r="M63" s="330">
        <v>0.109</v>
      </c>
      <c r="N63" s="191">
        <f t="shared" si="1"/>
        <v>30.92</v>
      </c>
      <c r="O63" s="192">
        <f t="shared" si="2"/>
        <v>155.4</v>
      </c>
      <c r="P63" s="192">
        <f t="shared" si="2"/>
        <v>103.44800000000001</v>
      </c>
      <c r="Q63" s="192">
        <f t="shared" si="3"/>
        <v>1663.4760000000001</v>
      </c>
      <c r="R63" s="192">
        <f t="shared" si="4"/>
        <v>1766.9240000000002</v>
      </c>
      <c r="S63" s="192">
        <f t="shared" si="5"/>
        <v>1860.739</v>
      </c>
      <c r="U63" s="350"/>
    </row>
    <row r="64" spans="1:21" ht="24.95" customHeight="1">
      <c r="A64" s="193" t="s">
        <v>132</v>
      </c>
      <c r="B64" s="194" t="s">
        <v>428</v>
      </c>
      <c r="C64" s="195" t="s">
        <v>222</v>
      </c>
      <c r="D64" s="190">
        <v>46578</v>
      </c>
      <c r="E64" s="190">
        <v>1384</v>
      </c>
      <c r="F64" s="190">
        <v>7717</v>
      </c>
      <c r="G64" s="190">
        <v>1685</v>
      </c>
      <c r="H64" s="190">
        <v>26019</v>
      </c>
      <c r="I64" s="190">
        <v>9773</v>
      </c>
      <c r="J64" s="190">
        <f t="shared" si="0"/>
        <v>35421</v>
      </c>
      <c r="K64" s="329">
        <v>4.2000000000000003E-2</v>
      </c>
      <c r="L64" s="329">
        <v>0.16</v>
      </c>
      <c r="M64" s="330">
        <v>0.129</v>
      </c>
      <c r="N64" s="191">
        <f t="shared" si="1"/>
        <v>58.128</v>
      </c>
      <c r="O64" s="192">
        <f t="shared" si="2"/>
        <v>324.11400000000003</v>
      </c>
      <c r="P64" s="192">
        <f t="shared" si="2"/>
        <v>269.60000000000002</v>
      </c>
      <c r="Q64" s="192">
        <f t="shared" si="3"/>
        <v>4163.04</v>
      </c>
      <c r="R64" s="192">
        <f t="shared" si="4"/>
        <v>4432.6400000000003</v>
      </c>
      <c r="S64" s="192">
        <f t="shared" si="5"/>
        <v>4569.3090000000002</v>
      </c>
      <c r="U64" s="350"/>
    </row>
    <row r="65" spans="1:21" ht="24.95" customHeight="1">
      <c r="A65" s="193" t="s">
        <v>100</v>
      </c>
      <c r="B65" s="194" t="s">
        <v>14</v>
      </c>
      <c r="C65" s="195" t="s">
        <v>221</v>
      </c>
      <c r="D65" s="190">
        <v>1115571</v>
      </c>
      <c r="E65" s="190">
        <v>44740</v>
      </c>
      <c r="F65" s="190">
        <v>218529</v>
      </c>
      <c r="G65" s="190">
        <v>40727</v>
      </c>
      <c r="H65" s="190">
        <v>682224</v>
      </c>
      <c r="I65" s="190">
        <v>129351</v>
      </c>
      <c r="J65" s="190">
        <f t="shared" si="0"/>
        <v>941480</v>
      </c>
      <c r="K65" s="329">
        <v>0.05</v>
      </c>
      <c r="L65" s="329">
        <v>0.157</v>
      </c>
      <c r="M65" s="330">
        <v>0.127</v>
      </c>
      <c r="N65" s="191">
        <f t="shared" si="1"/>
        <v>2237</v>
      </c>
      <c r="O65" s="192">
        <f t="shared" si="2"/>
        <v>10926.45</v>
      </c>
      <c r="P65" s="192">
        <f t="shared" si="2"/>
        <v>6394.1390000000001</v>
      </c>
      <c r="Q65" s="192">
        <f t="shared" si="3"/>
        <v>107109.16800000001</v>
      </c>
      <c r="R65" s="192">
        <f t="shared" si="4"/>
        <v>113503.307</v>
      </c>
      <c r="S65" s="192">
        <f t="shared" si="5"/>
        <v>119567.96</v>
      </c>
      <c r="U65" s="350"/>
    </row>
    <row r="66" spans="1:21" ht="24.95" customHeight="1">
      <c r="A66" s="193" t="s">
        <v>133</v>
      </c>
      <c r="B66" s="194" t="s">
        <v>428</v>
      </c>
      <c r="C66" s="195" t="s">
        <v>222</v>
      </c>
      <c r="D66" s="190">
        <v>15239</v>
      </c>
      <c r="E66" s="190">
        <v>440</v>
      </c>
      <c r="F66" s="190">
        <v>2306</v>
      </c>
      <c r="G66" s="190">
        <v>519</v>
      </c>
      <c r="H66" s="190">
        <v>8340</v>
      </c>
      <c r="I66" s="190">
        <v>3634</v>
      </c>
      <c r="J66" s="190">
        <f t="shared" si="0"/>
        <v>11165</v>
      </c>
      <c r="K66" s="329">
        <v>5.7999999999999996E-2</v>
      </c>
      <c r="L66" s="329">
        <v>0.16899999999999998</v>
      </c>
      <c r="M66" s="330">
        <v>0.14199999999999999</v>
      </c>
      <c r="N66" s="191">
        <f t="shared" si="1"/>
        <v>25.52</v>
      </c>
      <c r="O66" s="192">
        <f t="shared" si="2"/>
        <v>133.74799999999999</v>
      </c>
      <c r="P66" s="192">
        <f t="shared" si="2"/>
        <v>87.710999999999999</v>
      </c>
      <c r="Q66" s="192">
        <f t="shared" si="3"/>
        <v>1409.4599999999998</v>
      </c>
      <c r="R66" s="192">
        <f t="shared" si="4"/>
        <v>1497.1709999999998</v>
      </c>
      <c r="S66" s="192">
        <f t="shared" si="5"/>
        <v>1585.4299999999998</v>
      </c>
      <c r="U66" s="350"/>
    </row>
    <row r="67" spans="1:21" ht="24.95" customHeight="1">
      <c r="A67" s="193" t="s">
        <v>114</v>
      </c>
      <c r="B67" s="194" t="s">
        <v>17</v>
      </c>
      <c r="C67" s="195" t="s">
        <v>222</v>
      </c>
      <c r="D67" s="190">
        <v>28007</v>
      </c>
      <c r="E67" s="190">
        <v>878</v>
      </c>
      <c r="F67" s="190">
        <v>5068</v>
      </c>
      <c r="G67" s="190">
        <v>1203</v>
      </c>
      <c r="H67" s="190">
        <v>15033</v>
      </c>
      <c r="I67" s="190">
        <v>5825</v>
      </c>
      <c r="J67" s="190">
        <f t="shared" si="0"/>
        <v>21304</v>
      </c>
      <c r="K67" s="329">
        <v>5.5999999999999994E-2</v>
      </c>
      <c r="L67" s="329">
        <v>0.20600000000000002</v>
      </c>
      <c r="M67" s="330">
        <v>0.16300000000000001</v>
      </c>
      <c r="N67" s="191">
        <f t="shared" si="1"/>
        <v>49.167999999999992</v>
      </c>
      <c r="O67" s="192">
        <f t="shared" si="2"/>
        <v>283.80799999999999</v>
      </c>
      <c r="P67" s="192">
        <f t="shared" si="2"/>
        <v>247.81800000000001</v>
      </c>
      <c r="Q67" s="192">
        <f t="shared" si="3"/>
        <v>3096.7980000000002</v>
      </c>
      <c r="R67" s="192">
        <f t="shared" si="4"/>
        <v>3344.6160000000004</v>
      </c>
      <c r="S67" s="192">
        <f t="shared" si="5"/>
        <v>3472.5520000000001</v>
      </c>
      <c r="U67" s="350"/>
    </row>
    <row r="68" spans="1:21" ht="24.95" customHeight="1">
      <c r="A68" s="193" t="s">
        <v>115</v>
      </c>
      <c r="B68" s="194" t="s">
        <v>17</v>
      </c>
      <c r="C68" s="195" t="s">
        <v>222</v>
      </c>
      <c r="D68" s="190">
        <v>101088</v>
      </c>
      <c r="E68" s="190">
        <v>3441</v>
      </c>
      <c r="F68" s="190">
        <v>17202</v>
      </c>
      <c r="G68" s="190">
        <v>3503</v>
      </c>
      <c r="H68" s="190">
        <v>50194</v>
      </c>
      <c r="I68" s="190">
        <v>26748</v>
      </c>
      <c r="J68" s="190">
        <f t="shared" si="0"/>
        <v>70899</v>
      </c>
      <c r="K68" s="329">
        <v>5.5999999999999994E-2</v>
      </c>
      <c r="L68" s="329">
        <v>0.14400000000000002</v>
      </c>
      <c r="M68" s="330">
        <v>0.11900000000000001</v>
      </c>
      <c r="N68" s="191">
        <f t="shared" si="1"/>
        <v>192.69599999999997</v>
      </c>
      <c r="O68" s="192">
        <f t="shared" si="2"/>
        <v>963.3119999999999</v>
      </c>
      <c r="P68" s="192">
        <f t="shared" si="2"/>
        <v>504.43200000000007</v>
      </c>
      <c r="Q68" s="192">
        <f t="shared" si="3"/>
        <v>7227.9360000000006</v>
      </c>
      <c r="R68" s="192">
        <f t="shared" si="4"/>
        <v>7732.3680000000004</v>
      </c>
      <c r="S68" s="192">
        <f t="shared" si="5"/>
        <v>8436.9809999999998</v>
      </c>
      <c r="U68" s="350"/>
    </row>
    <row r="69" spans="1:21" ht="24.95" customHeight="1">
      <c r="A69" s="193" t="s">
        <v>94</v>
      </c>
      <c r="B69" s="194" t="s">
        <v>381</v>
      </c>
      <c r="C69" s="195" t="s">
        <v>221</v>
      </c>
      <c r="D69" s="190">
        <v>95612</v>
      </c>
      <c r="E69" s="190">
        <v>3295</v>
      </c>
      <c r="F69" s="190">
        <v>16764</v>
      </c>
      <c r="G69" s="190">
        <v>3697</v>
      </c>
      <c r="H69" s="190">
        <v>53728</v>
      </c>
      <c r="I69" s="190">
        <v>18128</v>
      </c>
      <c r="J69" s="190">
        <f t="shared" si="0"/>
        <v>74189</v>
      </c>
      <c r="K69" s="329">
        <v>4.4000000000000004E-2</v>
      </c>
      <c r="L69" s="329">
        <v>0.153</v>
      </c>
      <c r="M69" s="330">
        <v>0.12300000000000001</v>
      </c>
      <c r="N69" s="191">
        <f t="shared" si="1"/>
        <v>144.98000000000002</v>
      </c>
      <c r="O69" s="192">
        <f t="shared" si="2"/>
        <v>737.6160000000001</v>
      </c>
      <c r="P69" s="192">
        <f t="shared" si="2"/>
        <v>565.64099999999996</v>
      </c>
      <c r="Q69" s="192">
        <f t="shared" si="3"/>
        <v>8220.384</v>
      </c>
      <c r="R69" s="192">
        <f t="shared" si="4"/>
        <v>8786.0249999999996</v>
      </c>
      <c r="S69" s="192">
        <f t="shared" si="5"/>
        <v>9125.2470000000012</v>
      </c>
      <c r="U69" s="350"/>
    </row>
    <row r="70" spans="1:21" ht="24.95" customHeight="1">
      <c r="A70" s="193" t="s">
        <v>66</v>
      </c>
      <c r="B70" s="194" t="s">
        <v>381</v>
      </c>
      <c r="C70" s="195" t="s">
        <v>221</v>
      </c>
      <c r="D70" s="190">
        <v>237689</v>
      </c>
      <c r="E70" s="190">
        <v>7002</v>
      </c>
      <c r="F70" s="190">
        <v>36564</v>
      </c>
      <c r="G70" s="190">
        <v>12414</v>
      </c>
      <c r="H70" s="190">
        <v>140099</v>
      </c>
      <c r="I70" s="190">
        <v>41610</v>
      </c>
      <c r="J70" s="190">
        <f t="shared" ref="J70:J105" si="6">SUM(F70:H70)</f>
        <v>189077</v>
      </c>
      <c r="K70" s="329">
        <v>0.05</v>
      </c>
      <c r="L70" s="329">
        <v>0.14499999999999999</v>
      </c>
      <c r="M70" s="330">
        <v>0.12300000000000001</v>
      </c>
      <c r="N70" s="191">
        <f t="shared" si="1"/>
        <v>350.1</v>
      </c>
      <c r="O70" s="192">
        <f t="shared" si="2"/>
        <v>1828.2</v>
      </c>
      <c r="P70" s="192">
        <f t="shared" si="2"/>
        <v>1800.03</v>
      </c>
      <c r="Q70" s="192">
        <f t="shared" si="3"/>
        <v>20314.355</v>
      </c>
      <c r="R70" s="192">
        <f t="shared" si="4"/>
        <v>22114.384999999998</v>
      </c>
      <c r="S70" s="192">
        <f t="shared" si="5"/>
        <v>23256.471000000001</v>
      </c>
      <c r="U70" s="350"/>
    </row>
    <row r="71" spans="1:21" ht="24.95" customHeight="1">
      <c r="A71" s="193" t="s">
        <v>81</v>
      </c>
      <c r="B71" s="194" t="s">
        <v>381</v>
      </c>
      <c r="C71" s="195" t="s">
        <v>222</v>
      </c>
      <c r="D71" s="190">
        <v>20628</v>
      </c>
      <c r="E71" s="190">
        <v>618</v>
      </c>
      <c r="F71" s="190">
        <v>3156</v>
      </c>
      <c r="G71" s="190">
        <v>617</v>
      </c>
      <c r="H71" s="190">
        <v>11369</v>
      </c>
      <c r="I71" s="190">
        <v>4868</v>
      </c>
      <c r="J71" s="190">
        <f t="shared" si="6"/>
        <v>15142</v>
      </c>
      <c r="K71" s="329">
        <v>4.2000000000000003E-2</v>
      </c>
      <c r="L71" s="329">
        <v>0.13800000000000001</v>
      </c>
      <c r="M71" s="330">
        <v>0.115</v>
      </c>
      <c r="N71" s="191">
        <f t="shared" ref="N71:N105" si="7">E71*K71</f>
        <v>25.956000000000003</v>
      </c>
      <c r="O71" s="192">
        <f t="shared" ref="O71:P105" si="8">F71*K71</f>
        <v>132.55200000000002</v>
      </c>
      <c r="P71" s="192">
        <f t="shared" si="8"/>
        <v>85.146000000000001</v>
      </c>
      <c r="Q71" s="192">
        <f t="shared" ref="Q71:Q105" si="9">H71*L71</f>
        <v>1568.922</v>
      </c>
      <c r="R71" s="192">
        <f t="shared" ref="R71:R105" si="10">SUM(P71:Q71)</f>
        <v>1654.068</v>
      </c>
      <c r="S71" s="192">
        <f t="shared" ref="S71:S105" si="11">J71*M71</f>
        <v>1741.3300000000002</v>
      </c>
      <c r="U71" s="350"/>
    </row>
    <row r="72" spans="1:21" ht="24.95" customHeight="1">
      <c r="A72" s="193" t="s">
        <v>67</v>
      </c>
      <c r="B72" s="194" t="s">
        <v>381</v>
      </c>
      <c r="C72" s="195" t="s">
        <v>221</v>
      </c>
      <c r="D72" s="190">
        <v>201213</v>
      </c>
      <c r="E72" s="190">
        <v>11449</v>
      </c>
      <c r="F72" s="190">
        <v>49761</v>
      </c>
      <c r="G72" s="190">
        <v>13142</v>
      </c>
      <c r="H72" s="190">
        <v>107399</v>
      </c>
      <c r="I72" s="190">
        <v>19462</v>
      </c>
      <c r="J72" s="190">
        <f t="shared" si="6"/>
        <v>170302</v>
      </c>
      <c r="K72" s="329">
        <v>3.3000000000000002E-2</v>
      </c>
      <c r="L72" s="329">
        <v>0.11199999999999999</v>
      </c>
      <c r="M72" s="330">
        <v>8.8000000000000009E-2</v>
      </c>
      <c r="N72" s="191">
        <f t="shared" si="7"/>
        <v>377.81700000000001</v>
      </c>
      <c r="O72" s="192">
        <f t="shared" si="8"/>
        <v>1642.1130000000001</v>
      </c>
      <c r="P72" s="192">
        <f t="shared" si="8"/>
        <v>1471.9039999999998</v>
      </c>
      <c r="Q72" s="192">
        <f t="shared" si="9"/>
        <v>12028.687999999998</v>
      </c>
      <c r="R72" s="192">
        <f t="shared" si="10"/>
        <v>13500.591999999999</v>
      </c>
      <c r="S72" s="192">
        <f t="shared" si="11"/>
        <v>14986.576000000001</v>
      </c>
      <c r="U72" s="350"/>
    </row>
    <row r="73" spans="1:21" ht="24.95" customHeight="1">
      <c r="A73" s="193" t="s">
        <v>53</v>
      </c>
      <c r="B73" s="194" t="s">
        <v>14</v>
      </c>
      <c r="C73" s="195" t="s">
        <v>221</v>
      </c>
      <c r="D73" s="190">
        <v>145910</v>
      </c>
      <c r="E73" s="190">
        <v>3605</v>
      </c>
      <c r="F73" s="190">
        <v>22517</v>
      </c>
      <c r="G73" s="190">
        <v>12391</v>
      </c>
      <c r="H73" s="190">
        <v>85981</v>
      </c>
      <c r="I73" s="190">
        <v>21416</v>
      </c>
      <c r="J73" s="190">
        <f t="shared" si="6"/>
        <v>120889</v>
      </c>
      <c r="K73" s="329">
        <v>0.05</v>
      </c>
      <c r="L73" s="329">
        <v>0.125</v>
      </c>
      <c r="M73" s="330">
        <v>0.105</v>
      </c>
      <c r="N73" s="191">
        <f t="shared" si="7"/>
        <v>180.25</v>
      </c>
      <c r="O73" s="192">
        <f t="shared" si="8"/>
        <v>1125.8500000000001</v>
      </c>
      <c r="P73" s="192">
        <f t="shared" si="8"/>
        <v>1548.875</v>
      </c>
      <c r="Q73" s="192">
        <f t="shared" si="9"/>
        <v>10747.625</v>
      </c>
      <c r="R73" s="192">
        <f t="shared" si="10"/>
        <v>12296.5</v>
      </c>
      <c r="S73" s="192">
        <f t="shared" si="11"/>
        <v>12693.344999999999</v>
      </c>
      <c r="U73" s="350"/>
    </row>
    <row r="74" spans="1:21" ht="24.95" customHeight="1">
      <c r="A74" s="193" t="s">
        <v>82</v>
      </c>
      <c r="B74" s="194" t="s">
        <v>381</v>
      </c>
      <c r="C74" s="195" t="s">
        <v>221</v>
      </c>
      <c r="D74" s="190">
        <v>13292</v>
      </c>
      <c r="E74" s="190">
        <v>282</v>
      </c>
      <c r="F74" s="190">
        <v>1717</v>
      </c>
      <c r="G74" s="190">
        <v>331</v>
      </c>
      <c r="H74" s="190">
        <v>7109</v>
      </c>
      <c r="I74" s="190">
        <v>3853</v>
      </c>
      <c r="J74" s="190">
        <f t="shared" si="6"/>
        <v>9157</v>
      </c>
      <c r="K74" s="329">
        <v>6.3E-2</v>
      </c>
      <c r="L74" s="329">
        <v>0.14699999999999999</v>
      </c>
      <c r="M74" s="330">
        <v>0.127</v>
      </c>
      <c r="N74" s="191">
        <f t="shared" si="7"/>
        <v>17.766000000000002</v>
      </c>
      <c r="O74" s="192">
        <f t="shared" si="8"/>
        <v>108.17100000000001</v>
      </c>
      <c r="P74" s="192">
        <f t="shared" si="8"/>
        <v>48.656999999999996</v>
      </c>
      <c r="Q74" s="192">
        <f t="shared" si="9"/>
        <v>1045.0229999999999</v>
      </c>
      <c r="R74" s="192">
        <f t="shared" si="10"/>
        <v>1093.6799999999998</v>
      </c>
      <c r="S74" s="192">
        <f t="shared" si="11"/>
        <v>1162.9390000000001</v>
      </c>
      <c r="U74" s="350"/>
    </row>
    <row r="75" spans="1:21" ht="24.95" customHeight="1">
      <c r="A75" s="193" t="s">
        <v>83</v>
      </c>
      <c r="B75" s="194" t="s">
        <v>381</v>
      </c>
      <c r="C75" s="195" t="s">
        <v>222</v>
      </c>
      <c r="D75" s="190">
        <v>39816</v>
      </c>
      <c r="E75" s="190">
        <v>1474</v>
      </c>
      <c r="F75" s="190">
        <v>7675</v>
      </c>
      <c r="G75" s="190">
        <v>2431</v>
      </c>
      <c r="H75" s="190">
        <v>21929</v>
      </c>
      <c r="I75" s="190">
        <v>6307</v>
      </c>
      <c r="J75" s="190">
        <f t="shared" si="6"/>
        <v>32035</v>
      </c>
      <c r="K75" s="329">
        <v>4.4000000000000004E-2</v>
      </c>
      <c r="L75" s="329">
        <v>0.153</v>
      </c>
      <c r="M75" s="330">
        <v>0.122</v>
      </c>
      <c r="N75" s="191">
        <f t="shared" si="7"/>
        <v>64.856000000000009</v>
      </c>
      <c r="O75" s="192">
        <f t="shared" si="8"/>
        <v>337.70000000000005</v>
      </c>
      <c r="P75" s="192">
        <f t="shared" si="8"/>
        <v>371.94299999999998</v>
      </c>
      <c r="Q75" s="192">
        <f t="shared" si="9"/>
        <v>3355.1369999999997</v>
      </c>
      <c r="R75" s="192">
        <f t="shared" si="10"/>
        <v>3727.08</v>
      </c>
      <c r="S75" s="192">
        <f t="shared" si="11"/>
        <v>3908.27</v>
      </c>
      <c r="U75" s="350"/>
    </row>
    <row r="76" spans="1:21" ht="24.95" customHeight="1">
      <c r="A76" s="193" t="s">
        <v>68</v>
      </c>
      <c r="B76" s="194" t="s">
        <v>381</v>
      </c>
      <c r="C76" s="195" t="s">
        <v>221</v>
      </c>
      <c r="D76" s="190">
        <v>63638</v>
      </c>
      <c r="E76" s="190">
        <v>1999</v>
      </c>
      <c r="F76" s="190">
        <v>10974</v>
      </c>
      <c r="G76" s="190">
        <v>2469</v>
      </c>
      <c r="H76" s="190">
        <v>36506</v>
      </c>
      <c r="I76" s="190">
        <v>11690</v>
      </c>
      <c r="J76" s="190">
        <f t="shared" si="6"/>
        <v>49949</v>
      </c>
      <c r="K76" s="329">
        <v>5.7000000000000002E-2</v>
      </c>
      <c r="L76" s="329">
        <v>0.16800000000000001</v>
      </c>
      <c r="M76" s="330">
        <v>0.13699999999999998</v>
      </c>
      <c r="N76" s="191">
        <f t="shared" si="7"/>
        <v>113.943</v>
      </c>
      <c r="O76" s="192">
        <f t="shared" si="8"/>
        <v>625.51800000000003</v>
      </c>
      <c r="P76" s="192">
        <f t="shared" si="8"/>
        <v>414.79200000000003</v>
      </c>
      <c r="Q76" s="192">
        <f t="shared" si="9"/>
        <v>6133.0080000000007</v>
      </c>
      <c r="R76" s="192">
        <f t="shared" si="10"/>
        <v>6547.8000000000011</v>
      </c>
      <c r="S76" s="192">
        <f t="shared" si="11"/>
        <v>6843.012999999999</v>
      </c>
      <c r="U76" s="350"/>
    </row>
    <row r="77" spans="1:21" ht="24.95" customHeight="1">
      <c r="A77" s="193" t="s">
        <v>84</v>
      </c>
      <c r="B77" s="194" t="s">
        <v>381</v>
      </c>
      <c r="C77" s="195" t="s">
        <v>222</v>
      </c>
      <c r="D77" s="190">
        <v>13785</v>
      </c>
      <c r="E77" s="190">
        <v>390</v>
      </c>
      <c r="F77" s="190">
        <v>2137</v>
      </c>
      <c r="G77" s="190">
        <v>429</v>
      </c>
      <c r="H77" s="190">
        <v>7067</v>
      </c>
      <c r="I77" s="190">
        <v>3762</v>
      </c>
      <c r="J77" s="190">
        <f t="shared" si="6"/>
        <v>9633</v>
      </c>
      <c r="K77" s="329">
        <v>6.4000000000000001E-2</v>
      </c>
      <c r="L77" s="329">
        <v>0.14499999999999999</v>
      </c>
      <c r="M77" s="330">
        <v>0.124</v>
      </c>
      <c r="N77" s="191">
        <f t="shared" si="7"/>
        <v>24.96</v>
      </c>
      <c r="O77" s="192">
        <f t="shared" si="8"/>
        <v>136.768</v>
      </c>
      <c r="P77" s="192">
        <f t="shared" si="8"/>
        <v>62.204999999999998</v>
      </c>
      <c r="Q77" s="192">
        <f t="shared" si="9"/>
        <v>1024.7149999999999</v>
      </c>
      <c r="R77" s="192">
        <f t="shared" si="10"/>
        <v>1086.9199999999998</v>
      </c>
      <c r="S77" s="192">
        <f t="shared" si="11"/>
        <v>1194.492</v>
      </c>
      <c r="U77" s="350"/>
    </row>
    <row r="78" spans="1:21" ht="24.95" customHeight="1">
      <c r="A78" s="193" t="s">
        <v>54</v>
      </c>
      <c r="B78" s="194" t="s">
        <v>14</v>
      </c>
      <c r="C78" s="195" t="s">
        <v>221</v>
      </c>
      <c r="D78" s="190">
        <v>40145</v>
      </c>
      <c r="E78" s="190">
        <v>1356</v>
      </c>
      <c r="F78" s="190">
        <v>6904</v>
      </c>
      <c r="G78" s="190">
        <v>1325</v>
      </c>
      <c r="H78" s="190">
        <v>22688</v>
      </c>
      <c r="I78" s="190">
        <v>7872</v>
      </c>
      <c r="J78" s="190">
        <f t="shared" si="6"/>
        <v>30917</v>
      </c>
      <c r="K78" s="329">
        <v>4.7E-2</v>
      </c>
      <c r="L78" s="329">
        <v>0.14199999999999999</v>
      </c>
      <c r="M78" s="330">
        <v>0.11699999999999999</v>
      </c>
      <c r="N78" s="191">
        <f t="shared" si="7"/>
        <v>63.731999999999999</v>
      </c>
      <c r="O78" s="192">
        <f t="shared" si="8"/>
        <v>324.488</v>
      </c>
      <c r="P78" s="192">
        <f t="shared" si="8"/>
        <v>188.14999999999998</v>
      </c>
      <c r="Q78" s="192">
        <f t="shared" si="9"/>
        <v>3221.6959999999999</v>
      </c>
      <c r="R78" s="192">
        <f t="shared" si="10"/>
        <v>3409.846</v>
      </c>
      <c r="S78" s="192">
        <f t="shared" si="11"/>
        <v>3617.2889999999998</v>
      </c>
      <c r="U78" s="350"/>
    </row>
    <row r="79" spans="1:21" ht="24.95" customHeight="1">
      <c r="A79" s="193" t="s">
        <v>85</v>
      </c>
      <c r="B79" s="194" t="s">
        <v>381</v>
      </c>
      <c r="C79" s="195" t="s">
        <v>221</v>
      </c>
      <c r="D79" s="190">
        <v>180894</v>
      </c>
      <c r="E79" s="190">
        <v>6201</v>
      </c>
      <c r="F79" s="190">
        <v>32826</v>
      </c>
      <c r="G79" s="190">
        <v>15325</v>
      </c>
      <c r="H79" s="190">
        <v>102482</v>
      </c>
      <c r="I79" s="190">
        <v>24060</v>
      </c>
      <c r="J79" s="190">
        <f t="shared" si="6"/>
        <v>150633</v>
      </c>
      <c r="K79" s="329">
        <v>0.04</v>
      </c>
      <c r="L79" s="329">
        <v>0.13200000000000001</v>
      </c>
      <c r="M79" s="330">
        <v>0.10800000000000001</v>
      </c>
      <c r="N79" s="191">
        <f t="shared" si="7"/>
        <v>248.04</v>
      </c>
      <c r="O79" s="192">
        <f t="shared" si="8"/>
        <v>1313.04</v>
      </c>
      <c r="P79" s="192">
        <f t="shared" si="8"/>
        <v>2022.9</v>
      </c>
      <c r="Q79" s="192">
        <f t="shared" si="9"/>
        <v>13527.624</v>
      </c>
      <c r="R79" s="192">
        <f t="shared" si="10"/>
        <v>15550.523999999999</v>
      </c>
      <c r="S79" s="192">
        <f t="shared" si="11"/>
        <v>16268.364000000001</v>
      </c>
      <c r="U79" s="350"/>
    </row>
    <row r="80" spans="1:21" ht="24.95" customHeight="1">
      <c r="A80" s="193" t="s">
        <v>134</v>
      </c>
      <c r="B80" s="194" t="s">
        <v>428</v>
      </c>
      <c r="C80" s="195" t="s">
        <v>222</v>
      </c>
      <c r="D80" s="190">
        <v>21614</v>
      </c>
      <c r="E80" s="190">
        <v>506</v>
      </c>
      <c r="F80" s="190">
        <v>2882</v>
      </c>
      <c r="G80" s="190">
        <v>687</v>
      </c>
      <c r="H80" s="190">
        <v>11061</v>
      </c>
      <c r="I80" s="190">
        <v>6478</v>
      </c>
      <c r="J80" s="190">
        <f t="shared" si="6"/>
        <v>14630</v>
      </c>
      <c r="K80" s="329">
        <v>7.400000000000001E-2</v>
      </c>
      <c r="L80" s="329">
        <v>0.16399999999999998</v>
      </c>
      <c r="M80" s="330">
        <v>0.14300000000000002</v>
      </c>
      <c r="N80" s="191">
        <f t="shared" si="7"/>
        <v>37.444000000000003</v>
      </c>
      <c r="O80" s="192">
        <f t="shared" si="8"/>
        <v>213.26800000000003</v>
      </c>
      <c r="P80" s="192">
        <f t="shared" si="8"/>
        <v>112.66799999999999</v>
      </c>
      <c r="Q80" s="192">
        <f t="shared" si="9"/>
        <v>1814.0039999999997</v>
      </c>
      <c r="R80" s="192">
        <f t="shared" si="10"/>
        <v>1926.6719999999996</v>
      </c>
      <c r="S80" s="192">
        <f t="shared" si="11"/>
        <v>2092.09</v>
      </c>
      <c r="U80" s="350"/>
    </row>
    <row r="81" spans="1:21" ht="24.95" customHeight="1">
      <c r="A81" s="193" t="s">
        <v>116</v>
      </c>
      <c r="B81" s="194" t="s">
        <v>17</v>
      </c>
      <c r="C81" s="195" t="s">
        <v>221</v>
      </c>
      <c r="D81" s="190">
        <v>144125</v>
      </c>
      <c r="E81" s="190">
        <v>4815</v>
      </c>
      <c r="F81" s="190">
        <v>26439</v>
      </c>
      <c r="G81" s="190">
        <v>6068</v>
      </c>
      <c r="H81" s="190">
        <v>81233</v>
      </c>
      <c r="I81" s="190">
        <v>25570</v>
      </c>
      <c r="J81" s="190">
        <f t="shared" si="6"/>
        <v>113740</v>
      </c>
      <c r="K81" s="329">
        <v>6.2E-2</v>
      </c>
      <c r="L81" s="329">
        <v>0.184</v>
      </c>
      <c r="M81" s="330">
        <v>0.15</v>
      </c>
      <c r="N81" s="191">
        <f t="shared" si="7"/>
        <v>298.52999999999997</v>
      </c>
      <c r="O81" s="192">
        <f t="shared" si="8"/>
        <v>1639.2180000000001</v>
      </c>
      <c r="P81" s="192">
        <f t="shared" si="8"/>
        <v>1116.5119999999999</v>
      </c>
      <c r="Q81" s="192">
        <f t="shared" si="9"/>
        <v>14946.871999999999</v>
      </c>
      <c r="R81" s="192">
        <f t="shared" si="10"/>
        <v>16063.384</v>
      </c>
      <c r="S81" s="192">
        <f t="shared" si="11"/>
        <v>17061</v>
      </c>
      <c r="U81" s="350"/>
    </row>
    <row r="82" spans="1:21" ht="24.95" customHeight="1">
      <c r="A82" s="193" t="s">
        <v>117</v>
      </c>
      <c r="B82" s="194" t="s">
        <v>17</v>
      </c>
      <c r="C82" s="195" t="s">
        <v>222</v>
      </c>
      <c r="D82" s="190">
        <v>44950</v>
      </c>
      <c r="E82" s="190">
        <v>1609</v>
      </c>
      <c r="F82" s="190">
        <v>8481</v>
      </c>
      <c r="G82" s="190">
        <v>2135</v>
      </c>
      <c r="H82" s="190">
        <v>24649</v>
      </c>
      <c r="I82" s="190">
        <v>8076</v>
      </c>
      <c r="J82" s="190">
        <f t="shared" si="6"/>
        <v>35265</v>
      </c>
      <c r="K82" s="329">
        <v>4.8000000000000001E-2</v>
      </c>
      <c r="L82" s="329">
        <v>0.185</v>
      </c>
      <c r="M82" s="330">
        <v>0.14599999999999999</v>
      </c>
      <c r="N82" s="191">
        <f t="shared" si="7"/>
        <v>77.231999999999999</v>
      </c>
      <c r="O82" s="192">
        <f t="shared" si="8"/>
        <v>407.08800000000002</v>
      </c>
      <c r="P82" s="192">
        <f t="shared" si="8"/>
        <v>394.97500000000002</v>
      </c>
      <c r="Q82" s="192">
        <f t="shared" si="9"/>
        <v>4560.0649999999996</v>
      </c>
      <c r="R82" s="192">
        <f t="shared" si="10"/>
        <v>4955.04</v>
      </c>
      <c r="S82" s="192">
        <f t="shared" si="11"/>
        <v>5148.6899999999996</v>
      </c>
      <c r="U82" s="350"/>
    </row>
    <row r="83" spans="1:21" ht="24.95" customHeight="1">
      <c r="A83" s="193" t="s">
        <v>95</v>
      </c>
      <c r="B83" s="194" t="s">
        <v>15</v>
      </c>
      <c r="C83" s="195" t="s">
        <v>222</v>
      </c>
      <c r="D83" s="190">
        <v>130374</v>
      </c>
      <c r="E83" s="190">
        <v>4929</v>
      </c>
      <c r="F83" s="190">
        <v>25654</v>
      </c>
      <c r="G83" s="190">
        <v>8169</v>
      </c>
      <c r="H83" s="190">
        <v>71629</v>
      </c>
      <c r="I83" s="190">
        <v>19993</v>
      </c>
      <c r="J83" s="190">
        <f t="shared" si="6"/>
        <v>105452</v>
      </c>
      <c r="K83" s="329">
        <v>5.7999999999999996E-2</v>
      </c>
      <c r="L83" s="329">
        <v>0.24100000000000002</v>
      </c>
      <c r="M83" s="330">
        <v>0.18600000000000003</v>
      </c>
      <c r="N83" s="191">
        <f t="shared" si="7"/>
        <v>285.88200000000001</v>
      </c>
      <c r="O83" s="192">
        <f t="shared" si="8"/>
        <v>1487.9319999999998</v>
      </c>
      <c r="P83" s="192">
        <f t="shared" si="8"/>
        <v>1968.7290000000003</v>
      </c>
      <c r="Q83" s="192">
        <f t="shared" si="9"/>
        <v>17262.589</v>
      </c>
      <c r="R83" s="192">
        <f t="shared" si="10"/>
        <v>19231.317999999999</v>
      </c>
      <c r="S83" s="192">
        <f t="shared" si="11"/>
        <v>19614.072000000004</v>
      </c>
      <c r="U83" s="350"/>
    </row>
    <row r="84" spans="1:21" ht="24.95" customHeight="1">
      <c r="A84" s="193" t="s">
        <v>62</v>
      </c>
      <c r="B84" s="194" t="s">
        <v>14</v>
      </c>
      <c r="C84" s="195" t="s">
        <v>221</v>
      </c>
      <c r="D84" s="190">
        <v>91097</v>
      </c>
      <c r="E84" s="190">
        <v>2842</v>
      </c>
      <c r="F84" s="190">
        <v>15296</v>
      </c>
      <c r="G84" s="190">
        <v>3335</v>
      </c>
      <c r="H84" s="190">
        <v>51130</v>
      </c>
      <c r="I84" s="190">
        <v>18494</v>
      </c>
      <c r="J84" s="190">
        <f t="shared" si="6"/>
        <v>69761</v>
      </c>
      <c r="K84" s="329">
        <v>5.2000000000000005E-2</v>
      </c>
      <c r="L84" s="329">
        <v>0.157</v>
      </c>
      <c r="M84" s="330">
        <v>0.13</v>
      </c>
      <c r="N84" s="191">
        <f t="shared" si="7"/>
        <v>147.78400000000002</v>
      </c>
      <c r="O84" s="192">
        <f t="shared" si="8"/>
        <v>795.39200000000005</v>
      </c>
      <c r="P84" s="192">
        <f t="shared" si="8"/>
        <v>523.59500000000003</v>
      </c>
      <c r="Q84" s="192">
        <f t="shared" si="9"/>
        <v>8027.41</v>
      </c>
      <c r="R84" s="192">
        <f t="shared" si="10"/>
        <v>8551.0049999999992</v>
      </c>
      <c r="S84" s="192">
        <f t="shared" si="11"/>
        <v>9068.93</v>
      </c>
      <c r="U84" s="350"/>
    </row>
    <row r="85" spans="1:21" ht="24.95" customHeight="1">
      <c r="A85" s="193" t="s">
        <v>55</v>
      </c>
      <c r="B85" s="194" t="s">
        <v>14</v>
      </c>
      <c r="C85" s="195" t="s">
        <v>221</v>
      </c>
      <c r="D85" s="190">
        <v>143309</v>
      </c>
      <c r="E85" s="190">
        <v>4815</v>
      </c>
      <c r="F85" s="190">
        <v>26943</v>
      </c>
      <c r="G85" s="190">
        <v>5798</v>
      </c>
      <c r="H85" s="190">
        <v>80586</v>
      </c>
      <c r="I85" s="190">
        <v>25167</v>
      </c>
      <c r="J85" s="190">
        <f t="shared" si="6"/>
        <v>113327</v>
      </c>
      <c r="K85" s="329">
        <v>4.4999999999999998E-2</v>
      </c>
      <c r="L85" s="329">
        <v>0.17300000000000001</v>
      </c>
      <c r="M85" s="330">
        <v>0.13800000000000001</v>
      </c>
      <c r="N85" s="191">
        <f t="shared" si="7"/>
        <v>216.67499999999998</v>
      </c>
      <c r="O85" s="192">
        <f t="shared" si="8"/>
        <v>1212.4349999999999</v>
      </c>
      <c r="P85" s="192">
        <f t="shared" si="8"/>
        <v>1003.0540000000001</v>
      </c>
      <c r="Q85" s="192">
        <f t="shared" si="9"/>
        <v>13941.378000000001</v>
      </c>
      <c r="R85" s="192">
        <f t="shared" si="10"/>
        <v>14944.432000000001</v>
      </c>
      <c r="S85" s="192">
        <f t="shared" si="11"/>
        <v>15639.126000000002</v>
      </c>
      <c r="U85" s="350"/>
    </row>
    <row r="86" spans="1:21" ht="24.95" customHeight="1">
      <c r="A86" s="193" t="s">
        <v>135</v>
      </c>
      <c r="B86" s="194" t="s">
        <v>16</v>
      </c>
      <c r="C86" s="195" t="s">
        <v>222</v>
      </c>
      <c r="D86" s="190">
        <v>69251</v>
      </c>
      <c r="E86" s="190">
        <v>2178</v>
      </c>
      <c r="F86" s="190">
        <v>11656</v>
      </c>
      <c r="G86" s="190">
        <v>2535</v>
      </c>
      <c r="H86" s="190">
        <v>38096</v>
      </c>
      <c r="I86" s="190">
        <v>14786</v>
      </c>
      <c r="J86" s="190">
        <f t="shared" si="6"/>
        <v>52287</v>
      </c>
      <c r="K86" s="329">
        <v>0.05</v>
      </c>
      <c r="L86" s="329">
        <v>0.16699999999999998</v>
      </c>
      <c r="M86" s="330">
        <v>0.13600000000000001</v>
      </c>
      <c r="N86" s="191">
        <f t="shared" si="7"/>
        <v>108.9</v>
      </c>
      <c r="O86" s="192">
        <f t="shared" si="8"/>
        <v>582.80000000000007</v>
      </c>
      <c r="P86" s="192">
        <f t="shared" si="8"/>
        <v>423.34499999999997</v>
      </c>
      <c r="Q86" s="192">
        <f t="shared" si="9"/>
        <v>6362.0319999999992</v>
      </c>
      <c r="R86" s="192">
        <f t="shared" si="10"/>
        <v>6785.3769999999995</v>
      </c>
      <c r="S86" s="192">
        <f t="shared" si="11"/>
        <v>7111.0320000000002</v>
      </c>
      <c r="U86" s="350"/>
    </row>
    <row r="87" spans="1:21" ht="24.95" customHeight="1">
      <c r="A87" s="193" t="s">
        <v>96</v>
      </c>
      <c r="B87" s="194" t="s">
        <v>15</v>
      </c>
      <c r="C87" s="195" t="s">
        <v>222</v>
      </c>
      <c r="D87" s="190">
        <v>64173</v>
      </c>
      <c r="E87" s="190">
        <v>2493</v>
      </c>
      <c r="F87" s="190">
        <v>13006</v>
      </c>
      <c r="G87" s="190">
        <v>2832</v>
      </c>
      <c r="H87" s="190">
        <v>34445</v>
      </c>
      <c r="I87" s="190">
        <v>11397</v>
      </c>
      <c r="J87" s="190">
        <f t="shared" si="6"/>
        <v>50283</v>
      </c>
      <c r="K87" s="329">
        <v>7.400000000000001E-2</v>
      </c>
      <c r="L87" s="329">
        <v>0.23499999999999999</v>
      </c>
      <c r="M87" s="330">
        <v>0.187</v>
      </c>
      <c r="N87" s="191">
        <f t="shared" si="7"/>
        <v>184.48200000000003</v>
      </c>
      <c r="O87" s="192">
        <f t="shared" si="8"/>
        <v>962.44400000000019</v>
      </c>
      <c r="P87" s="192">
        <f t="shared" si="8"/>
        <v>665.52</v>
      </c>
      <c r="Q87" s="192">
        <f t="shared" si="9"/>
        <v>8094.5749999999998</v>
      </c>
      <c r="R87" s="192">
        <f t="shared" si="10"/>
        <v>8760.0949999999993</v>
      </c>
      <c r="S87" s="192">
        <f t="shared" si="11"/>
        <v>9402.9210000000003</v>
      </c>
      <c r="U87" s="350"/>
    </row>
    <row r="88" spans="1:21" ht="24.95" customHeight="1">
      <c r="A88" s="193" t="s">
        <v>97</v>
      </c>
      <c r="B88" s="194" t="s">
        <v>15</v>
      </c>
      <c r="C88" s="195" t="s">
        <v>222</v>
      </c>
      <c r="D88" s="190">
        <v>35813</v>
      </c>
      <c r="E88" s="190">
        <v>1392</v>
      </c>
      <c r="F88" s="190">
        <v>6953</v>
      </c>
      <c r="G88" s="190">
        <v>1350</v>
      </c>
      <c r="H88" s="190">
        <v>19563</v>
      </c>
      <c r="I88" s="190">
        <v>6555</v>
      </c>
      <c r="J88" s="190">
        <f t="shared" si="6"/>
        <v>27866</v>
      </c>
      <c r="K88" s="329">
        <v>4.7E-2</v>
      </c>
      <c r="L88" s="329">
        <v>0.182</v>
      </c>
      <c r="M88" s="330">
        <v>0.14199999999999999</v>
      </c>
      <c r="N88" s="191">
        <f t="shared" si="7"/>
        <v>65.424000000000007</v>
      </c>
      <c r="O88" s="192">
        <f t="shared" si="8"/>
        <v>326.791</v>
      </c>
      <c r="P88" s="192">
        <f t="shared" si="8"/>
        <v>245.7</v>
      </c>
      <c r="Q88" s="192">
        <f t="shared" si="9"/>
        <v>3560.4659999999999</v>
      </c>
      <c r="R88" s="192">
        <f t="shared" si="10"/>
        <v>3806.1659999999997</v>
      </c>
      <c r="S88" s="192">
        <f t="shared" si="11"/>
        <v>3956.9719999999998</v>
      </c>
      <c r="U88" s="350"/>
    </row>
    <row r="89" spans="1:21" ht="24.95" customHeight="1">
      <c r="A89" s="193" t="s">
        <v>56</v>
      </c>
      <c r="B89" s="194" t="s">
        <v>14</v>
      </c>
      <c r="C89" s="195" t="s">
        <v>222</v>
      </c>
      <c r="D89" s="190">
        <v>63944</v>
      </c>
      <c r="E89" s="190">
        <v>2132</v>
      </c>
      <c r="F89" s="190">
        <v>11180</v>
      </c>
      <c r="G89" s="190">
        <v>2418</v>
      </c>
      <c r="H89" s="190">
        <v>35860</v>
      </c>
      <c r="I89" s="190">
        <v>12354</v>
      </c>
      <c r="J89" s="190">
        <f t="shared" si="6"/>
        <v>49458</v>
      </c>
      <c r="K89" s="329">
        <v>4.9000000000000002E-2</v>
      </c>
      <c r="L89" s="329">
        <v>0.16</v>
      </c>
      <c r="M89" s="330">
        <v>0.129</v>
      </c>
      <c r="N89" s="191">
        <f t="shared" si="7"/>
        <v>104.468</v>
      </c>
      <c r="O89" s="192">
        <f t="shared" si="8"/>
        <v>547.82000000000005</v>
      </c>
      <c r="P89" s="192">
        <f t="shared" si="8"/>
        <v>386.88</v>
      </c>
      <c r="Q89" s="192">
        <f t="shared" si="9"/>
        <v>5737.6</v>
      </c>
      <c r="R89" s="192">
        <f t="shared" si="10"/>
        <v>6124.4800000000005</v>
      </c>
      <c r="S89" s="192">
        <f t="shared" si="11"/>
        <v>6380.0820000000003</v>
      </c>
      <c r="U89" s="350"/>
    </row>
    <row r="90" spans="1:21" ht="24.95" customHeight="1">
      <c r="A90" s="193" t="s">
        <v>63</v>
      </c>
      <c r="B90" s="194" t="s">
        <v>14</v>
      </c>
      <c r="C90" s="195" t="s">
        <v>221</v>
      </c>
      <c r="D90" s="190">
        <v>46600</v>
      </c>
      <c r="E90" s="190">
        <v>1300</v>
      </c>
      <c r="F90" s="190">
        <v>7157</v>
      </c>
      <c r="G90" s="190">
        <v>1391</v>
      </c>
      <c r="H90" s="190">
        <v>27136</v>
      </c>
      <c r="I90" s="190">
        <v>9616</v>
      </c>
      <c r="J90" s="190">
        <f t="shared" si="6"/>
        <v>35684</v>
      </c>
      <c r="K90" s="329">
        <v>0.05</v>
      </c>
      <c r="L90" s="329">
        <v>0.16</v>
      </c>
      <c r="M90" s="330">
        <v>0.13300000000000001</v>
      </c>
      <c r="N90" s="191">
        <f t="shared" si="7"/>
        <v>65</v>
      </c>
      <c r="O90" s="192">
        <f t="shared" si="8"/>
        <v>357.85</v>
      </c>
      <c r="P90" s="192">
        <f t="shared" si="8"/>
        <v>222.56</v>
      </c>
      <c r="Q90" s="192">
        <f t="shared" si="9"/>
        <v>4341.76</v>
      </c>
      <c r="R90" s="192">
        <f t="shared" si="10"/>
        <v>4564.3200000000006</v>
      </c>
      <c r="S90" s="192">
        <f t="shared" si="11"/>
        <v>4745.9720000000007</v>
      </c>
      <c r="U90" s="350"/>
    </row>
    <row r="91" spans="1:21" ht="24.95" customHeight="1">
      <c r="A91" s="193" t="s">
        <v>107</v>
      </c>
      <c r="B91" s="194" t="s">
        <v>16</v>
      </c>
      <c r="C91" s="195" t="s">
        <v>222</v>
      </c>
      <c r="D91" s="190">
        <v>73116</v>
      </c>
      <c r="E91" s="190">
        <v>2263</v>
      </c>
      <c r="F91" s="190">
        <v>12776</v>
      </c>
      <c r="G91" s="190">
        <v>2984</v>
      </c>
      <c r="H91" s="190">
        <v>40551</v>
      </c>
      <c r="I91" s="190">
        <v>14542</v>
      </c>
      <c r="J91" s="190">
        <f t="shared" si="6"/>
        <v>56311</v>
      </c>
      <c r="K91" s="329">
        <v>5.5999999999999994E-2</v>
      </c>
      <c r="L91" s="329">
        <v>0.18100000000000002</v>
      </c>
      <c r="M91" s="330">
        <v>0.14699999999999999</v>
      </c>
      <c r="N91" s="191">
        <f t="shared" si="7"/>
        <v>126.72799999999998</v>
      </c>
      <c r="O91" s="192">
        <f t="shared" si="8"/>
        <v>715.4559999999999</v>
      </c>
      <c r="P91" s="192">
        <f t="shared" si="8"/>
        <v>540.10400000000004</v>
      </c>
      <c r="Q91" s="192">
        <f t="shared" si="9"/>
        <v>7339.7310000000007</v>
      </c>
      <c r="R91" s="192">
        <f t="shared" si="10"/>
        <v>7879.8350000000009</v>
      </c>
      <c r="S91" s="192">
        <f t="shared" si="11"/>
        <v>8277.7169999999987</v>
      </c>
      <c r="U91" s="350"/>
    </row>
    <row r="92" spans="1:21" ht="24.95" customHeight="1">
      <c r="A92" s="193" t="s">
        <v>136</v>
      </c>
      <c r="B92" s="194" t="s">
        <v>428</v>
      </c>
      <c r="C92" s="195" t="s">
        <v>222</v>
      </c>
      <c r="D92" s="190">
        <v>14995</v>
      </c>
      <c r="E92" s="190">
        <v>560</v>
      </c>
      <c r="F92" s="190">
        <v>2926</v>
      </c>
      <c r="G92" s="190">
        <v>478</v>
      </c>
      <c r="H92" s="190">
        <v>8037</v>
      </c>
      <c r="I92" s="190">
        <v>2994</v>
      </c>
      <c r="J92" s="190">
        <f t="shared" si="6"/>
        <v>11441</v>
      </c>
      <c r="K92" s="329">
        <v>7.5999999999999998E-2</v>
      </c>
      <c r="L92" s="329">
        <v>0.22399999999999998</v>
      </c>
      <c r="M92" s="330">
        <v>0.183</v>
      </c>
      <c r="N92" s="191">
        <f t="shared" si="7"/>
        <v>42.56</v>
      </c>
      <c r="O92" s="192">
        <f t="shared" si="8"/>
        <v>222.376</v>
      </c>
      <c r="P92" s="192">
        <f t="shared" si="8"/>
        <v>107.07199999999999</v>
      </c>
      <c r="Q92" s="192">
        <f t="shared" si="9"/>
        <v>1800.2879999999998</v>
      </c>
      <c r="R92" s="192">
        <f t="shared" si="10"/>
        <v>1907.3599999999997</v>
      </c>
      <c r="S92" s="192">
        <f t="shared" si="11"/>
        <v>2093.703</v>
      </c>
      <c r="U92" s="350"/>
    </row>
    <row r="93" spans="1:21" ht="24.95" customHeight="1">
      <c r="A93" s="193" t="s">
        <v>137</v>
      </c>
      <c r="B93" s="194" t="s">
        <v>428</v>
      </c>
      <c r="C93" s="195" t="s">
        <v>222</v>
      </c>
      <c r="D93" s="190">
        <v>35435</v>
      </c>
      <c r="E93" s="190">
        <v>880</v>
      </c>
      <c r="F93" s="190">
        <v>4781</v>
      </c>
      <c r="G93" s="190">
        <v>1356</v>
      </c>
      <c r="H93" s="190">
        <v>17199</v>
      </c>
      <c r="I93" s="190">
        <v>11219</v>
      </c>
      <c r="J93" s="190">
        <f t="shared" si="6"/>
        <v>23336</v>
      </c>
      <c r="K93" s="329">
        <v>6.4000000000000001E-2</v>
      </c>
      <c r="L93" s="329">
        <v>0.18</v>
      </c>
      <c r="M93" s="330">
        <v>0.153</v>
      </c>
      <c r="N93" s="191">
        <f t="shared" si="7"/>
        <v>56.32</v>
      </c>
      <c r="O93" s="192">
        <f t="shared" si="8"/>
        <v>305.98399999999998</v>
      </c>
      <c r="P93" s="192">
        <f t="shared" si="8"/>
        <v>244.07999999999998</v>
      </c>
      <c r="Q93" s="192">
        <f t="shared" si="9"/>
        <v>3095.8199999999997</v>
      </c>
      <c r="R93" s="192">
        <f t="shared" si="10"/>
        <v>3339.8999999999996</v>
      </c>
      <c r="S93" s="192">
        <f t="shared" si="11"/>
        <v>3570.4079999999999</v>
      </c>
      <c r="U93" s="350"/>
    </row>
    <row r="94" spans="1:21" ht="24.95" customHeight="1">
      <c r="A94" s="193" t="s">
        <v>86</v>
      </c>
      <c r="B94" s="194" t="s">
        <v>381</v>
      </c>
      <c r="C94" s="195" t="s">
        <v>222</v>
      </c>
      <c r="D94" s="190">
        <v>4311</v>
      </c>
      <c r="E94" s="190">
        <v>134</v>
      </c>
      <c r="F94" s="190">
        <v>673</v>
      </c>
      <c r="G94" s="190">
        <v>130</v>
      </c>
      <c r="H94" s="190">
        <v>2506</v>
      </c>
      <c r="I94" s="190">
        <v>868</v>
      </c>
      <c r="J94" s="190">
        <f t="shared" si="6"/>
        <v>3309</v>
      </c>
      <c r="K94" s="329">
        <v>6.8000000000000005E-2</v>
      </c>
      <c r="L94" s="329">
        <v>0.20899999999999999</v>
      </c>
      <c r="M94" s="330">
        <v>0.17</v>
      </c>
      <c r="N94" s="191">
        <f t="shared" si="7"/>
        <v>9.1120000000000001</v>
      </c>
      <c r="O94" s="192">
        <f t="shared" si="8"/>
        <v>45.764000000000003</v>
      </c>
      <c r="P94" s="192">
        <f t="shared" si="8"/>
        <v>27.169999999999998</v>
      </c>
      <c r="Q94" s="192">
        <f t="shared" si="9"/>
        <v>523.75400000000002</v>
      </c>
      <c r="R94" s="192">
        <f t="shared" si="10"/>
        <v>550.92399999999998</v>
      </c>
      <c r="S94" s="192">
        <f t="shared" si="11"/>
        <v>562.53000000000009</v>
      </c>
      <c r="U94" s="350"/>
    </row>
    <row r="95" spans="1:21" ht="24.95" customHeight="1">
      <c r="A95" s="193" t="s">
        <v>57</v>
      </c>
      <c r="B95" s="194" t="s">
        <v>14</v>
      </c>
      <c r="C95" s="195" t="s">
        <v>221</v>
      </c>
      <c r="D95" s="190">
        <v>237477</v>
      </c>
      <c r="E95" s="190">
        <v>8185</v>
      </c>
      <c r="F95" s="190">
        <v>48909</v>
      </c>
      <c r="G95" s="190">
        <v>11425</v>
      </c>
      <c r="H95" s="190">
        <v>137959</v>
      </c>
      <c r="I95" s="190">
        <v>30999</v>
      </c>
      <c r="J95" s="190">
        <f t="shared" si="6"/>
        <v>198293</v>
      </c>
      <c r="K95" s="329">
        <v>4.5999999999999999E-2</v>
      </c>
      <c r="L95" s="329">
        <v>0.13300000000000001</v>
      </c>
      <c r="M95" s="330">
        <v>0.105</v>
      </c>
      <c r="N95" s="191">
        <f t="shared" si="7"/>
        <v>376.51</v>
      </c>
      <c r="O95" s="192">
        <f t="shared" si="8"/>
        <v>2249.8139999999999</v>
      </c>
      <c r="P95" s="192">
        <f t="shared" si="8"/>
        <v>1519.5250000000001</v>
      </c>
      <c r="Q95" s="192">
        <f t="shared" si="9"/>
        <v>18348.547000000002</v>
      </c>
      <c r="R95" s="192">
        <f t="shared" si="10"/>
        <v>19868.072000000004</v>
      </c>
      <c r="S95" s="192">
        <f t="shared" si="11"/>
        <v>20820.764999999999</v>
      </c>
      <c r="U95" s="350"/>
    </row>
    <row r="96" spans="1:21" ht="24.95" customHeight="1">
      <c r="A96" s="193" t="s">
        <v>58</v>
      </c>
      <c r="B96" s="194" t="s">
        <v>14</v>
      </c>
      <c r="C96" s="195" t="s">
        <v>222</v>
      </c>
      <c r="D96" s="190">
        <v>45182</v>
      </c>
      <c r="E96" s="190">
        <v>1703</v>
      </c>
      <c r="F96" s="190">
        <v>8759</v>
      </c>
      <c r="G96" s="190">
        <v>1909</v>
      </c>
      <c r="H96" s="190">
        <v>24606</v>
      </c>
      <c r="I96" s="190">
        <v>8205</v>
      </c>
      <c r="J96" s="190">
        <f t="shared" si="6"/>
        <v>35274</v>
      </c>
      <c r="K96" s="329">
        <v>0.04</v>
      </c>
      <c r="L96" s="329">
        <v>0.155</v>
      </c>
      <c r="M96" s="330">
        <v>0.121</v>
      </c>
      <c r="N96" s="191">
        <f t="shared" si="7"/>
        <v>68.12</v>
      </c>
      <c r="O96" s="192">
        <f t="shared" si="8"/>
        <v>350.36</v>
      </c>
      <c r="P96" s="192">
        <f t="shared" si="8"/>
        <v>295.89499999999998</v>
      </c>
      <c r="Q96" s="192">
        <f t="shared" si="9"/>
        <v>3813.93</v>
      </c>
      <c r="R96" s="192">
        <f t="shared" si="10"/>
        <v>4109.8249999999998</v>
      </c>
      <c r="S96" s="192">
        <f t="shared" si="11"/>
        <v>4268.1539999999995</v>
      </c>
      <c r="U96" s="350"/>
    </row>
    <row r="97" spans="1:21" ht="24.95" customHeight="1">
      <c r="A97" s="193" t="s">
        <v>44</v>
      </c>
      <c r="B97" s="194" t="s">
        <v>469</v>
      </c>
      <c r="C97" s="195" t="s">
        <v>221</v>
      </c>
      <c r="D97" s="190">
        <v>1096408</v>
      </c>
      <c r="E97" s="190">
        <v>39144</v>
      </c>
      <c r="F97" s="190">
        <v>217249</v>
      </c>
      <c r="G97" s="190">
        <v>46459</v>
      </c>
      <c r="H97" s="190">
        <v>663140</v>
      </c>
      <c r="I97" s="190">
        <v>130416</v>
      </c>
      <c r="J97" s="190">
        <f t="shared" si="6"/>
        <v>926848</v>
      </c>
      <c r="K97" s="329">
        <v>4.4999999999999998E-2</v>
      </c>
      <c r="L97" s="329">
        <v>0.12300000000000001</v>
      </c>
      <c r="M97" s="330">
        <v>0.1</v>
      </c>
      <c r="N97" s="191">
        <f t="shared" si="7"/>
        <v>1761.48</v>
      </c>
      <c r="O97" s="192">
        <f t="shared" si="8"/>
        <v>9776.2049999999999</v>
      </c>
      <c r="P97" s="192">
        <f t="shared" si="8"/>
        <v>5714.4570000000003</v>
      </c>
      <c r="Q97" s="192">
        <f t="shared" si="9"/>
        <v>81566.22</v>
      </c>
      <c r="R97" s="192">
        <f t="shared" si="10"/>
        <v>87280.676999999996</v>
      </c>
      <c r="S97" s="192">
        <f t="shared" si="11"/>
        <v>92684.800000000003</v>
      </c>
      <c r="U97" s="350"/>
    </row>
    <row r="98" spans="1:21" ht="24.95" customHeight="1">
      <c r="A98" s="187" t="s">
        <v>59</v>
      </c>
      <c r="B98" s="188" t="s">
        <v>14</v>
      </c>
      <c r="C98" s="189" t="s">
        <v>222</v>
      </c>
      <c r="D98" s="190">
        <v>20111</v>
      </c>
      <c r="E98" s="190">
        <v>569</v>
      </c>
      <c r="F98" s="190">
        <v>3104</v>
      </c>
      <c r="G98" s="190">
        <v>598</v>
      </c>
      <c r="H98" s="190">
        <v>10951</v>
      </c>
      <c r="I98" s="190">
        <v>4889</v>
      </c>
      <c r="J98" s="190">
        <f t="shared" si="6"/>
        <v>14653</v>
      </c>
      <c r="K98" s="329">
        <v>6.9000000000000006E-2</v>
      </c>
      <c r="L98" s="329">
        <v>0.19600000000000001</v>
      </c>
      <c r="M98" s="330">
        <v>0.16399999999999998</v>
      </c>
      <c r="N98" s="191">
        <f t="shared" si="7"/>
        <v>39.261000000000003</v>
      </c>
      <c r="O98" s="192">
        <f t="shared" si="8"/>
        <v>214.17600000000002</v>
      </c>
      <c r="P98" s="192">
        <f t="shared" si="8"/>
        <v>117.208</v>
      </c>
      <c r="Q98" s="192">
        <f t="shared" si="9"/>
        <v>2146.3960000000002</v>
      </c>
      <c r="R98" s="192">
        <f t="shared" si="10"/>
        <v>2263.6040000000003</v>
      </c>
      <c r="S98" s="192">
        <f t="shared" si="11"/>
        <v>2403.0919999999996</v>
      </c>
      <c r="U98" s="350"/>
    </row>
    <row r="99" spans="1:21" ht="24.95" customHeight="1">
      <c r="A99" s="187" t="s">
        <v>87</v>
      </c>
      <c r="B99" s="188" t="s">
        <v>381</v>
      </c>
      <c r="C99" s="189" t="s">
        <v>222</v>
      </c>
      <c r="D99" s="190">
        <v>12157</v>
      </c>
      <c r="E99" s="190">
        <v>424</v>
      </c>
      <c r="F99" s="190">
        <v>2178</v>
      </c>
      <c r="G99" s="190">
        <v>337</v>
      </c>
      <c r="H99" s="190">
        <v>6241</v>
      </c>
      <c r="I99" s="190">
        <v>2977</v>
      </c>
      <c r="J99" s="190">
        <f t="shared" si="6"/>
        <v>8756</v>
      </c>
      <c r="K99" s="329">
        <v>4.4000000000000004E-2</v>
      </c>
      <c r="L99" s="329">
        <v>0.16200000000000001</v>
      </c>
      <c r="M99" s="330">
        <v>0.13100000000000001</v>
      </c>
      <c r="N99" s="191">
        <f t="shared" si="7"/>
        <v>18.656000000000002</v>
      </c>
      <c r="O99" s="192">
        <f t="shared" si="8"/>
        <v>95.832000000000008</v>
      </c>
      <c r="P99" s="192">
        <f t="shared" si="8"/>
        <v>54.594000000000001</v>
      </c>
      <c r="Q99" s="192">
        <f t="shared" si="9"/>
        <v>1011.042</v>
      </c>
      <c r="R99" s="192">
        <f t="shared" si="10"/>
        <v>1065.636</v>
      </c>
      <c r="S99" s="192">
        <f t="shared" si="11"/>
        <v>1147.0360000000001</v>
      </c>
      <c r="U99" s="350"/>
    </row>
    <row r="100" spans="1:21" ht="24.95" customHeight="1">
      <c r="A100" s="187" t="s">
        <v>138</v>
      </c>
      <c r="B100" s="188" t="s">
        <v>428</v>
      </c>
      <c r="C100" s="189" t="s">
        <v>222</v>
      </c>
      <c r="D100" s="190">
        <v>58872</v>
      </c>
      <c r="E100" s="190">
        <v>1217</v>
      </c>
      <c r="F100" s="190">
        <v>5864</v>
      </c>
      <c r="G100" s="190">
        <v>9359</v>
      </c>
      <c r="H100" s="190">
        <v>32884</v>
      </c>
      <c r="I100" s="190">
        <v>9548</v>
      </c>
      <c r="J100" s="190">
        <f t="shared" si="6"/>
        <v>48107</v>
      </c>
      <c r="K100" s="329">
        <v>0.05</v>
      </c>
      <c r="L100" s="329">
        <v>0.16200000000000001</v>
      </c>
      <c r="M100" s="330">
        <v>0.14199999999999999</v>
      </c>
      <c r="N100" s="191">
        <f t="shared" si="7"/>
        <v>60.85</v>
      </c>
      <c r="O100" s="192">
        <f t="shared" si="8"/>
        <v>293.2</v>
      </c>
      <c r="P100" s="192">
        <f t="shared" si="8"/>
        <v>1516.1580000000001</v>
      </c>
      <c r="Q100" s="192">
        <f t="shared" si="9"/>
        <v>5327.2080000000005</v>
      </c>
      <c r="R100" s="192">
        <f t="shared" si="10"/>
        <v>6843.3660000000009</v>
      </c>
      <c r="S100" s="192">
        <f t="shared" si="11"/>
        <v>6831.1939999999995</v>
      </c>
      <c r="U100" s="350"/>
    </row>
    <row r="101" spans="1:21" ht="24.95" customHeight="1">
      <c r="A101" s="187" t="s">
        <v>98</v>
      </c>
      <c r="B101" s="188" t="s">
        <v>15</v>
      </c>
      <c r="C101" s="189" t="s">
        <v>221</v>
      </c>
      <c r="D101" s="190">
        <v>125464</v>
      </c>
      <c r="E101" s="190">
        <v>4858</v>
      </c>
      <c r="F101" s="190">
        <v>25610</v>
      </c>
      <c r="G101" s="190">
        <v>5118</v>
      </c>
      <c r="H101" s="190">
        <v>69311</v>
      </c>
      <c r="I101" s="190">
        <v>20567</v>
      </c>
      <c r="J101" s="190">
        <f t="shared" si="6"/>
        <v>100039</v>
      </c>
      <c r="K101" s="329">
        <v>5.0999999999999997E-2</v>
      </c>
      <c r="L101" s="329">
        <v>0.19</v>
      </c>
      <c r="M101" s="330">
        <v>0.15</v>
      </c>
      <c r="N101" s="191">
        <f t="shared" si="7"/>
        <v>247.75799999999998</v>
      </c>
      <c r="O101" s="192">
        <f t="shared" si="8"/>
        <v>1306.1099999999999</v>
      </c>
      <c r="P101" s="192">
        <f t="shared" si="8"/>
        <v>972.42</v>
      </c>
      <c r="Q101" s="192">
        <f t="shared" si="9"/>
        <v>13169.09</v>
      </c>
      <c r="R101" s="192">
        <f t="shared" si="10"/>
        <v>14141.51</v>
      </c>
      <c r="S101" s="192">
        <f t="shared" si="11"/>
        <v>15005.849999999999</v>
      </c>
      <c r="U101" s="350"/>
    </row>
    <row r="102" spans="1:21" ht="24.95" customHeight="1">
      <c r="A102" s="187" t="s">
        <v>139</v>
      </c>
      <c r="B102" s="188" t="s">
        <v>428</v>
      </c>
      <c r="C102" s="189" t="s">
        <v>222</v>
      </c>
      <c r="D102" s="190">
        <v>70200</v>
      </c>
      <c r="E102" s="190">
        <v>2116</v>
      </c>
      <c r="F102" s="190">
        <v>11812</v>
      </c>
      <c r="G102" s="190">
        <v>2571</v>
      </c>
      <c r="H102" s="190">
        <v>38576</v>
      </c>
      <c r="I102" s="190">
        <v>15125</v>
      </c>
      <c r="J102" s="190">
        <f t="shared" si="6"/>
        <v>52959</v>
      </c>
      <c r="K102" s="329">
        <v>5.2999999999999999E-2</v>
      </c>
      <c r="L102" s="329">
        <v>0.19500000000000001</v>
      </c>
      <c r="M102" s="330">
        <v>0.157</v>
      </c>
      <c r="N102" s="191">
        <f t="shared" si="7"/>
        <v>112.148</v>
      </c>
      <c r="O102" s="192">
        <f t="shared" si="8"/>
        <v>626.03599999999994</v>
      </c>
      <c r="P102" s="192">
        <f t="shared" si="8"/>
        <v>501.34500000000003</v>
      </c>
      <c r="Q102" s="192">
        <f t="shared" si="9"/>
        <v>7522.3200000000006</v>
      </c>
      <c r="R102" s="192">
        <f t="shared" si="10"/>
        <v>8023.6650000000009</v>
      </c>
      <c r="S102" s="192">
        <f t="shared" si="11"/>
        <v>8314.5630000000001</v>
      </c>
      <c r="U102" s="350"/>
    </row>
    <row r="103" spans="1:21" ht="24.95" customHeight="1">
      <c r="A103" s="187" t="s">
        <v>99</v>
      </c>
      <c r="B103" s="188" t="s">
        <v>15</v>
      </c>
      <c r="C103" s="189" t="s">
        <v>222</v>
      </c>
      <c r="D103" s="190">
        <v>82369</v>
      </c>
      <c r="E103" s="190">
        <v>2900</v>
      </c>
      <c r="F103" s="190">
        <v>15703</v>
      </c>
      <c r="G103" s="190">
        <v>3111</v>
      </c>
      <c r="H103" s="190">
        <v>45699</v>
      </c>
      <c r="I103" s="190">
        <v>14956</v>
      </c>
      <c r="J103" s="190">
        <f t="shared" si="6"/>
        <v>64513</v>
      </c>
      <c r="K103" s="329">
        <v>4.4999999999999998E-2</v>
      </c>
      <c r="L103" s="329">
        <v>0.17600000000000002</v>
      </c>
      <c r="M103" s="330">
        <v>0.13800000000000001</v>
      </c>
      <c r="N103" s="191">
        <f t="shared" si="7"/>
        <v>130.5</v>
      </c>
      <c r="O103" s="192">
        <f t="shared" si="8"/>
        <v>706.63499999999999</v>
      </c>
      <c r="P103" s="192">
        <f t="shared" si="8"/>
        <v>547.53600000000006</v>
      </c>
      <c r="Q103" s="192">
        <f t="shared" si="9"/>
        <v>8043.0240000000013</v>
      </c>
      <c r="R103" s="192">
        <f t="shared" si="10"/>
        <v>8590.5600000000013</v>
      </c>
      <c r="S103" s="192">
        <f t="shared" si="11"/>
        <v>8902.7939999999999</v>
      </c>
      <c r="U103" s="350"/>
    </row>
    <row r="104" spans="1:21" ht="24.95" customHeight="1">
      <c r="A104" s="187" t="s">
        <v>108</v>
      </c>
      <c r="B104" s="188" t="s">
        <v>16</v>
      </c>
      <c r="C104" s="189" t="s">
        <v>221</v>
      </c>
      <c r="D104" s="190">
        <v>38729</v>
      </c>
      <c r="E104" s="190">
        <v>1231</v>
      </c>
      <c r="F104" s="190">
        <v>6608</v>
      </c>
      <c r="G104" s="190">
        <v>1431</v>
      </c>
      <c r="H104" s="190">
        <v>21764</v>
      </c>
      <c r="I104" s="190">
        <v>7695</v>
      </c>
      <c r="J104" s="190">
        <f t="shared" si="6"/>
        <v>29803</v>
      </c>
      <c r="K104" s="329">
        <v>5.2999999999999999E-2</v>
      </c>
      <c r="L104" s="329">
        <v>0.17199999999999999</v>
      </c>
      <c r="M104" s="330">
        <v>0.14099999999999999</v>
      </c>
      <c r="N104" s="191">
        <f t="shared" si="7"/>
        <v>65.242999999999995</v>
      </c>
      <c r="O104" s="192">
        <f t="shared" si="8"/>
        <v>350.22399999999999</v>
      </c>
      <c r="P104" s="192">
        <f t="shared" si="8"/>
        <v>246.13199999999998</v>
      </c>
      <c r="Q104" s="192">
        <f t="shared" si="9"/>
        <v>3743.4079999999999</v>
      </c>
      <c r="R104" s="192">
        <f t="shared" si="10"/>
        <v>3989.54</v>
      </c>
      <c r="S104" s="192">
        <f t="shared" si="11"/>
        <v>4202.223</v>
      </c>
      <c r="U104" s="350"/>
    </row>
    <row r="105" spans="1:21" ht="24.95" customHeight="1">
      <c r="A105" s="187" t="s">
        <v>140</v>
      </c>
      <c r="B105" s="188" t="s">
        <v>428</v>
      </c>
      <c r="C105" s="189" t="s">
        <v>222</v>
      </c>
      <c r="D105" s="190">
        <v>18412</v>
      </c>
      <c r="E105" s="190">
        <v>538</v>
      </c>
      <c r="F105" s="190">
        <v>2776</v>
      </c>
      <c r="G105" s="190">
        <v>542</v>
      </c>
      <c r="H105" s="190">
        <v>9906</v>
      </c>
      <c r="I105" s="190">
        <v>4650</v>
      </c>
      <c r="J105" s="190">
        <f t="shared" si="6"/>
        <v>13224</v>
      </c>
      <c r="K105" s="329">
        <v>0.06</v>
      </c>
      <c r="L105" s="329">
        <v>0.17600000000000002</v>
      </c>
      <c r="M105" s="331">
        <v>0.14699999999999999</v>
      </c>
      <c r="N105" s="191">
        <f t="shared" si="7"/>
        <v>32.28</v>
      </c>
      <c r="O105" s="192">
        <f t="shared" si="8"/>
        <v>166.56</v>
      </c>
      <c r="P105" s="192">
        <f t="shared" si="8"/>
        <v>95.39200000000001</v>
      </c>
      <c r="Q105" s="192">
        <f t="shared" si="9"/>
        <v>1743.4560000000001</v>
      </c>
      <c r="R105" s="192">
        <f t="shared" si="10"/>
        <v>1838.8480000000002</v>
      </c>
      <c r="S105" s="192">
        <f t="shared" si="11"/>
        <v>1943.9279999999999</v>
      </c>
      <c r="U105" s="350"/>
    </row>
    <row r="106" spans="1:21" ht="20.100000000000001" customHeight="1">
      <c r="D106" s="197"/>
      <c r="E106" s="197"/>
      <c r="F106" s="197"/>
      <c r="G106" s="197"/>
      <c r="H106" s="197"/>
      <c r="I106" s="198"/>
      <c r="J106" s="198"/>
      <c r="K106" s="332"/>
      <c r="L106" s="332"/>
      <c r="M106" s="333"/>
      <c r="N106" s="199"/>
      <c r="O106" s="199"/>
      <c r="P106" s="199"/>
      <c r="Q106" s="199"/>
      <c r="R106" s="199"/>
      <c r="S106" s="197"/>
      <c r="U106" s="350"/>
    </row>
    <row r="107" spans="1:21" ht="24.95" customHeight="1">
      <c r="A107" s="200" t="s">
        <v>223</v>
      </c>
      <c r="B107" s="182"/>
      <c r="C107" s="183"/>
      <c r="D107" s="201">
        <f t="shared" ref="D107:J107" si="12">SUM(D6:D105)</f>
        <v>10524548</v>
      </c>
      <c r="E107" s="201">
        <f t="shared" si="12"/>
        <v>368495</v>
      </c>
      <c r="F107" s="201">
        <f t="shared" si="12"/>
        <v>1952275</v>
      </c>
      <c r="G107" s="201">
        <f t="shared" si="12"/>
        <v>463361</v>
      </c>
      <c r="H107" s="201">
        <f t="shared" si="12"/>
        <v>6006957</v>
      </c>
      <c r="I107" s="201">
        <f t="shared" si="12"/>
        <v>1733460</v>
      </c>
      <c r="J107" s="201">
        <f t="shared" si="12"/>
        <v>8422593</v>
      </c>
      <c r="K107" s="327">
        <v>4.9000000000000002E-2</v>
      </c>
      <c r="L107" s="327">
        <v>0.156</v>
      </c>
      <c r="M107" s="327">
        <v>0.126</v>
      </c>
      <c r="N107" s="186">
        <f t="shared" ref="N107:S107" si="13">SUM(N6:N105)</f>
        <v>17947.166999999994</v>
      </c>
      <c r="O107" s="186">
        <f t="shared" si="13"/>
        <v>95431.260999999969</v>
      </c>
      <c r="P107" s="186">
        <f t="shared" si="13"/>
        <v>72077.671999999991</v>
      </c>
      <c r="Q107" s="186">
        <f t="shared" si="13"/>
        <v>938076.99499999953</v>
      </c>
      <c r="R107" s="186">
        <f t="shared" si="13"/>
        <v>1010154.6670000001</v>
      </c>
      <c r="S107" s="201">
        <f t="shared" si="13"/>
        <v>1064945.1040000001</v>
      </c>
      <c r="U107" s="351"/>
    </row>
    <row r="108" spans="1:21">
      <c r="N108" s="202">
        <f>N107/E107</f>
        <v>4.8703963418770931E-2</v>
      </c>
      <c r="O108" s="202">
        <f>O107/F107</f>
        <v>4.8882079112829886E-2</v>
      </c>
      <c r="P108" s="202">
        <f>P107/G107</f>
        <v>0.15555403238511656</v>
      </c>
      <c r="Q108" s="202">
        <f>Q107/H107</f>
        <v>0.1561650924086854</v>
      </c>
      <c r="R108" s="202">
        <f>R107/SUM(G107:H107)</f>
        <v>0.15612133236728087</v>
      </c>
      <c r="S108" s="202">
        <f>S107/J107</f>
        <v>0.12643910301732494</v>
      </c>
      <c r="U108" s="202"/>
    </row>
    <row r="109" spans="1:21" ht="20.100000000000001" customHeight="1">
      <c r="A109" s="162" t="s">
        <v>465</v>
      </c>
    </row>
    <row r="110" spans="1:21" ht="39.950000000000003" customHeight="1">
      <c r="A110" s="446" t="s">
        <v>466</v>
      </c>
      <c r="B110" s="446"/>
      <c r="C110" s="446"/>
      <c r="D110" s="446"/>
      <c r="E110" s="446"/>
      <c r="F110" s="446"/>
      <c r="G110" s="446"/>
      <c r="H110" s="446"/>
      <c r="I110" s="446"/>
      <c r="J110" s="446"/>
      <c r="K110" s="446"/>
      <c r="L110" s="446"/>
      <c r="M110" s="446"/>
      <c r="N110" s="446"/>
      <c r="O110" s="446"/>
      <c r="P110" s="446"/>
      <c r="Q110" s="446"/>
      <c r="R110" s="446"/>
      <c r="S110" s="446"/>
    </row>
    <row r="111" spans="1:21" ht="90" customHeight="1">
      <c r="A111" s="449" t="s">
        <v>473</v>
      </c>
      <c r="B111" s="449"/>
      <c r="C111" s="449"/>
      <c r="D111" s="449"/>
      <c r="E111" s="449"/>
      <c r="F111" s="449"/>
      <c r="G111" s="449"/>
      <c r="H111" s="449"/>
      <c r="I111" s="449"/>
      <c r="J111" s="449"/>
      <c r="K111" s="449"/>
      <c r="L111" s="449"/>
      <c r="M111" s="449"/>
      <c r="N111" s="449"/>
      <c r="O111" s="449"/>
      <c r="P111" s="449"/>
      <c r="Q111" s="449"/>
      <c r="R111" s="449"/>
      <c r="S111" s="449"/>
    </row>
  </sheetData>
  <sheetProtection sheet="1" autoFilter="0"/>
  <autoFilter ref="A5:S107"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K16"/>
  <sheetViews>
    <sheetView showGridLines="0" workbookViewId="0">
      <selection activeCell="A17" sqref="A17"/>
    </sheetView>
  </sheetViews>
  <sheetFormatPr defaultRowHeight="12.75"/>
  <cols>
    <col min="1" max="1" width="22.42578125" style="22" customWidth="1"/>
    <col min="2" max="16384" width="9.140625" style="22"/>
  </cols>
  <sheetData>
    <row r="1" spans="1:11" ht="15" customHeight="1">
      <c r="A1" s="35" t="s">
        <v>23</v>
      </c>
    </row>
    <row r="2" spans="1:11" ht="15" customHeight="1">
      <c r="A2" s="35" t="s">
        <v>187</v>
      </c>
    </row>
    <row r="3" spans="1:11" ht="15" customHeight="1">
      <c r="A3" s="30" t="s">
        <v>185</v>
      </c>
      <c r="C3" s="138">
        <f>IF('Set-Up Worksheet'!F3="","Data Not Entered On Set-Up Worksheet",'Set-Up Worksheet'!F3)</f>
        <v>2021</v>
      </c>
    </row>
    <row r="4" spans="1:11" ht="15" customHeight="1">
      <c r="A4" s="30" t="s">
        <v>186</v>
      </c>
      <c r="C4" s="138" t="str">
        <f>IF('Set-Up Worksheet'!F4="","Data Not Entered On Set-Up Worksheet",'Set-Up Worksheet'!F4)</f>
        <v>1st Quarter</v>
      </c>
    </row>
    <row r="5" spans="1:11" ht="15" customHeight="1">
      <c r="C5" s="32"/>
    </row>
    <row r="6" spans="1:11" ht="15" customHeight="1">
      <c r="A6" s="30" t="s">
        <v>184</v>
      </c>
      <c r="C6" s="32"/>
    </row>
    <row r="7" spans="1:11" ht="15" customHeight="1">
      <c r="A7" s="30" t="s">
        <v>447</v>
      </c>
      <c r="C7" s="32"/>
    </row>
    <row r="8" spans="1:11" ht="15" customHeight="1">
      <c r="A8" s="30"/>
      <c r="C8" s="32"/>
    </row>
    <row r="9" spans="1:11" ht="15" customHeight="1">
      <c r="A9" s="30" t="s">
        <v>24</v>
      </c>
      <c r="C9" s="38" t="str">
        <f>IF('Set-Up Worksheet'!E7="","Data Not Entered On Set-Up Worksheet",'Set-Up Worksheet'!E7)</f>
        <v>Data Not Entered On Set-Up Worksheet</v>
      </c>
    </row>
    <row r="10" spans="1:11" ht="15" customHeight="1">
      <c r="A10" s="30" t="s">
        <v>9</v>
      </c>
      <c r="C10" s="32" t="s">
        <v>10</v>
      </c>
    </row>
    <row r="11" spans="1:11" ht="15" customHeight="1">
      <c r="A11" s="30" t="s">
        <v>188</v>
      </c>
      <c r="C11" s="39" t="str">
        <f>IF(C4="Data Not Entered On Set-Up Worksheet","Data Not Entered On Set-Up Worksheet",IF(C4="1st Quarter",'Report Schedule'!D10,IF(C4="2nd Quarter",'Report Schedule'!E10,IF(C4="3rd Quarter",'Report Schedule'!F10,IF(C4="4th Quarter",'Report Schedule'!G10,"")))))</f>
        <v>Jul - Sep 2020</v>
      </c>
    </row>
    <row r="14" spans="1:11" ht="79.5" customHeight="1">
      <c r="A14" s="443" t="s">
        <v>370</v>
      </c>
      <c r="B14" s="443"/>
      <c r="C14" s="443"/>
      <c r="D14" s="443"/>
      <c r="E14" s="443"/>
      <c r="F14" s="443"/>
      <c r="G14" s="443"/>
      <c r="H14" s="443"/>
      <c r="I14" s="443"/>
      <c r="J14" s="443"/>
      <c r="K14" s="46"/>
    </row>
    <row r="15" spans="1:11">
      <c r="A15" s="46"/>
      <c r="B15" s="46"/>
      <c r="C15" s="46"/>
      <c r="D15" s="46"/>
      <c r="E15" s="46"/>
      <c r="F15" s="46"/>
      <c r="G15" s="46"/>
      <c r="H15" s="46"/>
      <c r="I15" s="46"/>
      <c r="J15" s="46"/>
      <c r="K15" s="46"/>
    </row>
    <row r="16" spans="1:11">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103" priority="4">
      <formula>C3="Data Not Entered On Set-Up Worksheet"</formula>
    </cfRule>
  </conditionalFormatting>
  <conditionalFormatting sqref="C9">
    <cfRule type="expression" dxfId="1102" priority="3">
      <formula>C9="Data Not Entered On Set-Up Worksheet"</formula>
    </cfRule>
  </conditionalFormatting>
  <conditionalFormatting sqref="C11">
    <cfRule type="expression" dxfId="110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777C-8753-49FF-A8C0-7D9F9B74C5B9}">
  <dimension ref="A1:S238"/>
  <sheetViews>
    <sheetView workbookViewId="0">
      <pane ySplit="4" topLeftCell="A5" activePane="bottomLeft" state="frozen"/>
      <selection activeCell="B12" sqref="B12"/>
      <selection pane="bottomLeft" activeCell="I121" sqref="I121"/>
    </sheetView>
  </sheetViews>
  <sheetFormatPr defaultRowHeight="12.75"/>
  <cols>
    <col min="1" max="1" width="46.5703125" style="354" bestFit="1" customWidth="1"/>
    <col min="2" max="2" width="18.7109375" style="356" customWidth="1"/>
    <col min="3" max="6" width="18.7109375" style="354" customWidth="1"/>
    <col min="7" max="16384" width="9.140625" style="354"/>
  </cols>
  <sheetData>
    <row r="1" spans="1:9" ht="18">
      <c r="A1" s="352" t="s">
        <v>467</v>
      </c>
      <c r="B1" s="353"/>
      <c r="C1" s="353"/>
      <c r="D1" s="353"/>
      <c r="E1" s="353"/>
      <c r="F1" s="353"/>
    </row>
    <row r="2" spans="1:9" ht="25.5">
      <c r="A2" s="334" t="s">
        <v>468</v>
      </c>
      <c r="B2" s="355"/>
      <c r="C2" s="355"/>
      <c r="D2" s="355"/>
      <c r="E2" s="355"/>
      <c r="F2" s="355"/>
    </row>
    <row r="4" spans="1:9" ht="51">
      <c r="A4" s="319" t="s">
        <v>229</v>
      </c>
      <c r="B4" s="335" t="s">
        <v>383</v>
      </c>
      <c r="C4" s="367" t="s">
        <v>384</v>
      </c>
      <c r="D4" s="335" t="s">
        <v>385</v>
      </c>
      <c r="E4" s="367" t="s">
        <v>437</v>
      </c>
      <c r="F4" s="335" t="s">
        <v>438</v>
      </c>
      <c r="H4" s="379" t="s">
        <v>439</v>
      </c>
      <c r="I4" s="379" t="s">
        <v>440</v>
      </c>
    </row>
    <row r="5" spans="1:9" ht="14.25">
      <c r="A5" s="368" t="s">
        <v>469</v>
      </c>
      <c r="B5" s="369">
        <v>18336.597000000002</v>
      </c>
      <c r="C5" s="369">
        <v>11713.257000000001</v>
      </c>
      <c r="D5" s="369">
        <v>157571.62400000001</v>
      </c>
      <c r="E5" s="369">
        <v>169284.88099999999</v>
      </c>
      <c r="F5" s="369">
        <v>180812.32200000001</v>
      </c>
      <c r="G5" s="380"/>
      <c r="H5" s="381">
        <f>SUM(B5,E5)</f>
        <v>187621.478</v>
      </c>
      <c r="I5" s="381">
        <f>H5-F5</f>
        <v>6809.1559999999881</v>
      </c>
    </row>
    <row r="6" spans="1:9" ht="14.25">
      <c r="A6" s="401" t="s">
        <v>41</v>
      </c>
      <c r="B6" s="402">
        <v>2734.8220000000001</v>
      </c>
      <c r="C6" s="402">
        <v>2085.0029999999997</v>
      </c>
      <c r="D6" s="402">
        <v>25111.414999999997</v>
      </c>
      <c r="E6" s="402">
        <v>27196.417999999998</v>
      </c>
      <c r="F6" s="402">
        <v>29212.164000000004</v>
      </c>
      <c r="G6" s="380"/>
      <c r="H6" s="380">
        <f>SUM(B6,E6)</f>
        <v>29931.239999999998</v>
      </c>
      <c r="I6" s="380">
        <f>H6-F6</f>
        <v>719.07599999999366</v>
      </c>
    </row>
    <row r="7" spans="1:9" ht="14.25">
      <c r="A7" s="403" t="s">
        <v>42</v>
      </c>
      <c r="B7" s="404">
        <v>3327.1560000000004</v>
      </c>
      <c r="C7" s="404">
        <v>2410.7220000000002</v>
      </c>
      <c r="D7" s="404">
        <v>30151.763999999999</v>
      </c>
      <c r="E7" s="404">
        <v>32562.486000000001</v>
      </c>
      <c r="F7" s="404">
        <v>35190.678</v>
      </c>
      <c r="G7" s="380"/>
      <c r="H7" s="380">
        <f>SUM(B7,E7)</f>
        <v>35889.642</v>
      </c>
      <c r="I7" s="380">
        <f>H7-F7</f>
        <v>698.96399999999994</v>
      </c>
    </row>
    <row r="8" spans="1:9" ht="14.25">
      <c r="A8" s="403" t="s">
        <v>43</v>
      </c>
      <c r="B8" s="404">
        <v>2498.4140000000002</v>
      </c>
      <c r="C8" s="404">
        <v>1503.0749999999998</v>
      </c>
      <c r="D8" s="404">
        <v>20742.224999999999</v>
      </c>
      <c r="E8" s="404">
        <v>22245.3</v>
      </c>
      <c r="F8" s="404">
        <v>23724.680000000004</v>
      </c>
      <c r="G8" s="380"/>
      <c r="H8" s="380">
        <f>SUM(B8,E8)</f>
        <v>24743.714</v>
      </c>
      <c r="I8" s="380">
        <f>H8-F8</f>
        <v>1019.033999999996</v>
      </c>
    </row>
    <row r="9" spans="1:9" ht="14.25">
      <c r="A9" s="403" t="s">
        <v>44</v>
      </c>
      <c r="B9" s="404">
        <v>9776.2049999999999</v>
      </c>
      <c r="C9" s="404">
        <v>5714.4570000000003</v>
      </c>
      <c r="D9" s="404">
        <v>81566.22</v>
      </c>
      <c r="E9" s="404">
        <v>87280.676999999996</v>
      </c>
      <c r="F9" s="404">
        <v>92684.800000000003</v>
      </c>
      <c r="G9" s="380"/>
      <c r="H9" s="380">
        <f>SUM(B9,E9)</f>
        <v>97056.881999999998</v>
      </c>
      <c r="I9" s="380">
        <f>H9-F9</f>
        <v>4372.0819999999949</v>
      </c>
    </row>
    <row r="10" spans="1:9" ht="14.25">
      <c r="A10" s="374"/>
      <c r="B10" s="375"/>
      <c r="C10" s="375"/>
      <c r="D10" s="375"/>
      <c r="E10" s="375"/>
      <c r="F10" s="375"/>
      <c r="H10" s="380"/>
      <c r="I10" s="380"/>
    </row>
    <row r="11" spans="1:9" ht="14.25">
      <c r="A11" s="368" t="s">
        <v>14</v>
      </c>
      <c r="B11" s="369">
        <v>29500.506000000001</v>
      </c>
      <c r="C11" s="369">
        <v>20508.200000000008</v>
      </c>
      <c r="D11" s="369">
        <v>290224.52500000002</v>
      </c>
      <c r="E11" s="369">
        <v>310732.72499999998</v>
      </c>
      <c r="F11" s="369">
        <v>326136.07300000003</v>
      </c>
      <c r="H11" s="381">
        <f t="shared" ref="H11:H31" si="0">SUM(B11,E11)</f>
        <v>340233.23099999997</v>
      </c>
      <c r="I11" s="381">
        <f t="shared" ref="I11:I31" si="1">H11-F11</f>
        <v>14097.157999999938</v>
      </c>
    </row>
    <row r="12" spans="1:9" ht="14.25">
      <c r="A12" s="370" t="s">
        <v>45</v>
      </c>
      <c r="B12" s="371">
        <v>1659.4200000000003</v>
      </c>
      <c r="C12" s="371">
        <v>1502.375</v>
      </c>
      <c r="D12" s="371">
        <v>16459.625</v>
      </c>
      <c r="E12" s="371">
        <v>17962</v>
      </c>
      <c r="F12" s="371">
        <v>18805.169999999998</v>
      </c>
      <c r="H12" s="380">
        <f t="shared" si="0"/>
        <v>19621.420000000002</v>
      </c>
      <c r="I12" s="380">
        <f t="shared" si="1"/>
        <v>816.25000000000364</v>
      </c>
    </row>
    <row r="13" spans="1:9" ht="14.25">
      <c r="A13" s="372" t="s">
        <v>46</v>
      </c>
      <c r="B13" s="373">
        <v>1704.144</v>
      </c>
      <c r="C13" s="373">
        <v>1198.8620000000001</v>
      </c>
      <c r="D13" s="373">
        <v>16434.278000000002</v>
      </c>
      <c r="E13" s="373">
        <v>17633.140000000003</v>
      </c>
      <c r="F13" s="373">
        <v>18332.704000000002</v>
      </c>
      <c r="H13" s="380">
        <f t="shared" si="0"/>
        <v>19337.284000000003</v>
      </c>
      <c r="I13" s="380">
        <f t="shared" si="1"/>
        <v>1004.5800000000017</v>
      </c>
    </row>
    <row r="14" spans="1:9" ht="14.25">
      <c r="A14" s="372" t="s">
        <v>47</v>
      </c>
      <c r="B14" s="373">
        <v>210.29999999999998</v>
      </c>
      <c r="C14" s="373">
        <v>117.657</v>
      </c>
      <c r="D14" s="373">
        <v>2054.79</v>
      </c>
      <c r="E14" s="373">
        <v>2172.4470000000001</v>
      </c>
      <c r="F14" s="373">
        <v>2283.8160000000003</v>
      </c>
      <c r="H14" s="380">
        <f t="shared" si="0"/>
        <v>2382.7470000000003</v>
      </c>
      <c r="I14" s="380">
        <f t="shared" si="1"/>
        <v>98.93100000000004</v>
      </c>
    </row>
    <row r="15" spans="1:9" ht="14.25">
      <c r="A15" s="372" t="s">
        <v>48</v>
      </c>
      <c r="B15" s="373">
        <v>865.22400000000005</v>
      </c>
      <c r="C15" s="373">
        <v>394.10799999999995</v>
      </c>
      <c r="D15" s="373">
        <v>6763.3799999999992</v>
      </c>
      <c r="E15" s="373">
        <v>7157.4879999999994</v>
      </c>
      <c r="F15" s="373">
        <v>7720.3979999999992</v>
      </c>
      <c r="H15" s="380">
        <f t="shared" si="0"/>
        <v>8022.7119999999995</v>
      </c>
      <c r="I15" s="380">
        <f t="shared" si="1"/>
        <v>302.31400000000031</v>
      </c>
    </row>
    <row r="16" spans="1:9" ht="14.25">
      <c r="A16" s="405" t="s">
        <v>49</v>
      </c>
      <c r="B16" s="376">
        <v>1508</v>
      </c>
      <c r="C16" s="376">
        <v>993.76</v>
      </c>
      <c r="D16" s="376">
        <v>15458.4</v>
      </c>
      <c r="E16" s="376">
        <v>16452.16</v>
      </c>
      <c r="F16" s="376">
        <v>17155.194</v>
      </c>
      <c r="H16" s="380">
        <f t="shared" si="0"/>
        <v>17960.16</v>
      </c>
      <c r="I16" s="380">
        <f t="shared" si="1"/>
        <v>804.96600000000035</v>
      </c>
    </row>
    <row r="17" spans="1:9" ht="14.25">
      <c r="A17" s="406" t="s">
        <v>60</v>
      </c>
      <c r="B17" s="377">
        <v>437.28</v>
      </c>
      <c r="C17" s="377">
        <v>240.14999999999998</v>
      </c>
      <c r="D17" s="377">
        <v>3682.65</v>
      </c>
      <c r="E17" s="377">
        <v>3922.8</v>
      </c>
      <c r="F17" s="377">
        <v>4180</v>
      </c>
      <c r="H17" s="380">
        <f t="shared" si="0"/>
        <v>4360.08</v>
      </c>
      <c r="I17" s="380">
        <f t="shared" si="1"/>
        <v>180.07999999999993</v>
      </c>
    </row>
    <row r="18" spans="1:9" ht="14.25">
      <c r="A18" s="406" t="s">
        <v>61</v>
      </c>
      <c r="B18" s="377">
        <v>3253.6240000000003</v>
      </c>
      <c r="C18" s="377">
        <v>2718.1880000000001</v>
      </c>
      <c r="D18" s="377">
        <v>35240.925999999999</v>
      </c>
      <c r="E18" s="377">
        <v>37959.114000000001</v>
      </c>
      <c r="F18" s="377">
        <v>39580.296000000002</v>
      </c>
      <c r="H18" s="380">
        <f t="shared" si="0"/>
        <v>41212.738000000005</v>
      </c>
      <c r="I18" s="380">
        <f t="shared" si="1"/>
        <v>1632.4420000000027</v>
      </c>
    </row>
    <row r="19" spans="1:9" ht="14.25">
      <c r="A19" s="406" t="s">
        <v>50</v>
      </c>
      <c r="B19" s="377">
        <v>801.08799999999997</v>
      </c>
      <c r="C19" s="377">
        <v>470.84399999999999</v>
      </c>
      <c r="D19" s="377">
        <v>6861.1679999999997</v>
      </c>
      <c r="E19" s="377">
        <v>7332.0119999999997</v>
      </c>
      <c r="F19" s="377">
        <v>7870.3200000000006</v>
      </c>
      <c r="H19" s="380">
        <f t="shared" si="0"/>
        <v>8133.0999999999995</v>
      </c>
      <c r="I19" s="380">
        <f t="shared" si="1"/>
        <v>262.77999999999884</v>
      </c>
    </row>
    <row r="20" spans="1:9" ht="14.25">
      <c r="A20" s="406" t="s">
        <v>51</v>
      </c>
      <c r="B20" s="377">
        <v>502.69100000000003</v>
      </c>
      <c r="C20" s="377">
        <v>367.09900000000005</v>
      </c>
      <c r="D20" s="377">
        <v>5150.7840000000006</v>
      </c>
      <c r="E20" s="377">
        <v>5517.8830000000007</v>
      </c>
      <c r="F20" s="377">
        <v>5744.9400000000005</v>
      </c>
      <c r="H20" s="380">
        <f t="shared" si="0"/>
        <v>6020.5740000000005</v>
      </c>
      <c r="I20" s="380">
        <f t="shared" si="1"/>
        <v>275.63400000000001</v>
      </c>
    </row>
    <row r="21" spans="1:9" ht="14.25">
      <c r="A21" s="406" t="s">
        <v>52</v>
      </c>
      <c r="B21" s="377">
        <v>454.1</v>
      </c>
      <c r="C21" s="377">
        <v>305.27599999999995</v>
      </c>
      <c r="D21" s="377">
        <v>4683.0139999999992</v>
      </c>
      <c r="E21" s="377">
        <v>4988.2899999999991</v>
      </c>
      <c r="F21" s="377">
        <v>5258.52</v>
      </c>
      <c r="H21" s="380">
        <f t="shared" si="0"/>
        <v>5442.3899999999994</v>
      </c>
      <c r="I21" s="380">
        <f t="shared" si="1"/>
        <v>183.86999999999898</v>
      </c>
    </row>
    <row r="22" spans="1:9" ht="14.25">
      <c r="A22" s="406" t="s">
        <v>100</v>
      </c>
      <c r="B22" s="377">
        <v>10926.45</v>
      </c>
      <c r="C22" s="377">
        <v>6394.1390000000001</v>
      </c>
      <c r="D22" s="377">
        <v>107109.16800000001</v>
      </c>
      <c r="E22" s="377">
        <v>113503.307</v>
      </c>
      <c r="F22" s="377">
        <v>119567.96</v>
      </c>
      <c r="H22" s="380">
        <f t="shared" si="0"/>
        <v>124429.757</v>
      </c>
      <c r="I22" s="380">
        <f t="shared" si="1"/>
        <v>4861.7969999999914</v>
      </c>
    </row>
    <row r="23" spans="1:9" ht="14.25">
      <c r="A23" s="406" t="s">
        <v>53</v>
      </c>
      <c r="B23" s="377">
        <v>1125.8500000000001</v>
      </c>
      <c r="C23" s="377">
        <v>1548.875</v>
      </c>
      <c r="D23" s="377">
        <v>10747.625</v>
      </c>
      <c r="E23" s="377">
        <v>12296.5</v>
      </c>
      <c r="F23" s="377">
        <v>12693.344999999999</v>
      </c>
      <c r="H23" s="380">
        <f t="shared" si="0"/>
        <v>13422.35</v>
      </c>
      <c r="I23" s="380">
        <f t="shared" si="1"/>
        <v>729.00500000000102</v>
      </c>
    </row>
    <row r="24" spans="1:9" ht="14.25">
      <c r="A24" s="406" t="s">
        <v>54</v>
      </c>
      <c r="B24" s="377">
        <v>324.488</v>
      </c>
      <c r="C24" s="377">
        <v>188.14999999999998</v>
      </c>
      <c r="D24" s="377">
        <v>3221.6959999999999</v>
      </c>
      <c r="E24" s="377">
        <v>3409.846</v>
      </c>
      <c r="F24" s="377">
        <v>3617.2889999999998</v>
      </c>
      <c r="H24" s="380">
        <f t="shared" si="0"/>
        <v>3734.3339999999998</v>
      </c>
      <c r="I24" s="380">
        <f t="shared" si="1"/>
        <v>117.04500000000007</v>
      </c>
    </row>
    <row r="25" spans="1:9" ht="14.25">
      <c r="A25" s="406" t="s">
        <v>62</v>
      </c>
      <c r="B25" s="377">
        <v>795.39200000000005</v>
      </c>
      <c r="C25" s="377">
        <v>523.59500000000003</v>
      </c>
      <c r="D25" s="377">
        <v>8027.41</v>
      </c>
      <c r="E25" s="377">
        <v>8551.0049999999992</v>
      </c>
      <c r="F25" s="377">
        <v>9068.93</v>
      </c>
      <c r="H25" s="380">
        <f t="shared" si="0"/>
        <v>9346.396999999999</v>
      </c>
      <c r="I25" s="380">
        <f t="shared" si="1"/>
        <v>277.46699999999873</v>
      </c>
    </row>
    <row r="26" spans="1:9" ht="14.25">
      <c r="A26" s="406" t="s">
        <v>55</v>
      </c>
      <c r="B26" s="377">
        <v>1212.4349999999999</v>
      </c>
      <c r="C26" s="377">
        <v>1003.0540000000001</v>
      </c>
      <c r="D26" s="377">
        <v>13941.378000000001</v>
      </c>
      <c r="E26" s="377">
        <v>14944.432000000001</v>
      </c>
      <c r="F26" s="377">
        <v>15639.126000000002</v>
      </c>
      <c r="H26" s="380">
        <f t="shared" si="0"/>
        <v>16156.867</v>
      </c>
      <c r="I26" s="380">
        <f t="shared" si="1"/>
        <v>517.74099999999817</v>
      </c>
    </row>
    <row r="27" spans="1:9" ht="14.25">
      <c r="A27" s="406" t="s">
        <v>56</v>
      </c>
      <c r="B27" s="377">
        <v>547.82000000000005</v>
      </c>
      <c r="C27" s="377">
        <v>386.88</v>
      </c>
      <c r="D27" s="377">
        <v>5737.6</v>
      </c>
      <c r="E27" s="377">
        <v>6124.4800000000005</v>
      </c>
      <c r="F27" s="377">
        <v>6380.0820000000003</v>
      </c>
      <c r="H27" s="380">
        <f t="shared" si="0"/>
        <v>6672.3</v>
      </c>
      <c r="I27" s="380">
        <f t="shared" si="1"/>
        <v>292.21799999999985</v>
      </c>
    </row>
    <row r="28" spans="1:9" ht="14.25">
      <c r="A28" s="406" t="s">
        <v>63</v>
      </c>
      <c r="B28" s="377">
        <v>357.85</v>
      </c>
      <c r="C28" s="377">
        <v>222.56</v>
      </c>
      <c r="D28" s="377">
        <v>4341.76</v>
      </c>
      <c r="E28" s="377">
        <v>4564.3200000000006</v>
      </c>
      <c r="F28" s="377">
        <v>4745.9720000000007</v>
      </c>
      <c r="H28" s="380">
        <f t="shared" si="0"/>
        <v>4922.170000000001</v>
      </c>
      <c r="I28" s="380">
        <f t="shared" si="1"/>
        <v>176.19800000000032</v>
      </c>
    </row>
    <row r="29" spans="1:9" ht="14.25">
      <c r="A29" s="406" t="s">
        <v>57</v>
      </c>
      <c r="B29" s="377">
        <v>2249.8139999999999</v>
      </c>
      <c r="C29" s="377">
        <v>1519.5250000000001</v>
      </c>
      <c r="D29" s="377">
        <v>18348.547000000002</v>
      </c>
      <c r="E29" s="377">
        <v>19868.072000000004</v>
      </c>
      <c r="F29" s="377">
        <v>20820.764999999999</v>
      </c>
      <c r="H29" s="380">
        <f t="shared" si="0"/>
        <v>22117.886000000002</v>
      </c>
      <c r="I29" s="380">
        <f t="shared" si="1"/>
        <v>1297.1210000000028</v>
      </c>
    </row>
    <row r="30" spans="1:9" ht="14.25">
      <c r="A30" s="407" t="s">
        <v>58</v>
      </c>
      <c r="B30" s="378">
        <v>350.36</v>
      </c>
      <c r="C30" s="378">
        <v>295.89499999999998</v>
      </c>
      <c r="D30" s="378">
        <v>3813.93</v>
      </c>
      <c r="E30" s="378">
        <v>4109.8249999999998</v>
      </c>
      <c r="F30" s="378">
        <v>4268.1539999999995</v>
      </c>
      <c r="H30" s="380">
        <f t="shared" si="0"/>
        <v>4460.1849999999995</v>
      </c>
      <c r="I30" s="380">
        <f t="shared" si="1"/>
        <v>192.03099999999995</v>
      </c>
    </row>
    <row r="31" spans="1:9" ht="14.25">
      <c r="A31" s="372" t="s">
        <v>59</v>
      </c>
      <c r="B31" s="373">
        <v>214.17600000000002</v>
      </c>
      <c r="C31" s="373">
        <v>117.208</v>
      </c>
      <c r="D31" s="373">
        <v>2146.3960000000002</v>
      </c>
      <c r="E31" s="373">
        <v>2263.6040000000003</v>
      </c>
      <c r="F31" s="373">
        <v>2403.0919999999996</v>
      </c>
      <c r="H31" s="380">
        <f t="shared" si="0"/>
        <v>2477.7800000000002</v>
      </c>
      <c r="I31" s="380">
        <f t="shared" si="1"/>
        <v>74.688000000000557</v>
      </c>
    </row>
    <row r="32" spans="1:9" ht="14.25">
      <c r="A32" s="374"/>
      <c r="B32" s="375"/>
      <c r="C32" s="375"/>
      <c r="D32" s="375"/>
      <c r="E32" s="375"/>
      <c r="F32" s="375"/>
      <c r="H32" s="380"/>
      <c r="I32" s="380"/>
    </row>
    <row r="33" spans="1:9" ht="14.25">
      <c r="A33" s="368" t="s">
        <v>15</v>
      </c>
      <c r="B33" s="369">
        <v>7190.9660000000003</v>
      </c>
      <c r="C33" s="369">
        <v>6129.3050000000003</v>
      </c>
      <c r="D33" s="369">
        <v>74396.366999999998</v>
      </c>
      <c r="E33" s="369">
        <v>80525.671999999991</v>
      </c>
      <c r="F33" s="369">
        <v>84395.004000000001</v>
      </c>
      <c r="H33" s="381">
        <f t="shared" ref="H33:H43" si="2">SUM(B33,E33)</f>
        <v>87716.637999999992</v>
      </c>
      <c r="I33" s="381">
        <f t="shared" ref="I33:I43" si="3">H33-F33</f>
        <v>3321.6339999999909</v>
      </c>
    </row>
    <row r="34" spans="1:9" ht="14.25">
      <c r="A34" s="370" t="s">
        <v>88</v>
      </c>
      <c r="B34" s="371">
        <v>400.59300000000002</v>
      </c>
      <c r="C34" s="371">
        <v>253.75000000000003</v>
      </c>
      <c r="D34" s="371">
        <v>3807.6710000000003</v>
      </c>
      <c r="E34" s="371">
        <v>4061.4210000000003</v>
      </c>
      <c r="F34" s="371">
        <v>4339.6619999999994</v>
      </c>
      <c r="H34" s="380">
        <f t="shared" si="2"/>
        <v>4462.0140000000001</v>
      </c>
      <c r="I34" s="380">
        <f t="shared" si="3"/>
        <v>122.35200000000077</v>
      </c>
    </row>
    <row r="35" spans="1:9" ht="14.25">
      <c r="A35" s="372" t="s">
        <v>90</v>
      </c>
      <c r="B35" s="373">
        <v>919.226</v>
      </c>
      <c r="C35" s="373">
        <v>594.86</v>
      </c>
      <c r="D35" s="373">
        <v>7913.7449999999999</v>
      </c>
      <c r="E35" s="373">
        <v>8508.6049999999996</v>
      </c>
      <c r="F35" s="373">
        <v>9146.732</v>
      </c>
      <c r="H35" s="380">
        <f t="shared" si="2"/>
        <v>9427.8310000000001</v>
      </c>
      <c r="I35" s="380">
        <f t="shared" si="3"/>
        <v>281.09900000000016</v>
      </c>
    </row>
    <row r="36" spans="1:9" ht="14.25">
      <c r="A36" s="372" t="s">
        <v>91</v>
      </c>
      <c r="B36" s="373">
        <v>337.22700000000003</v>
      </c>
      <c r="C36" s="373">
        <v>316.66500000000002</v>
      </c>
      <c r="D36" s="373">
        <v>4364.6449999999995</v>
      </c>
      <c r="E36" s="373">
        <v>4681.3099999999995</v>
      </c>
      <c r="F36" s="373">
        <v>4890.9409999999998</v>
      </c>
      <c r="H36" s="380">
        <f t="shared" si="2"/>
        <v>5018.5369999999994</v>
      </c>
      <c r="I36" s="380">
        <f t="shared" si="3"/>
        <v>127.59599999999955</v>
      </c>
    </row>
    <row r="37" spans="1:9" ht="14.25">
      <c r="A37" s="372" t="s">
        <v>92</v>
      </c>
      <c r="B37" s="373">
        <v>281.7</v>
      </c>
      <c r="C37" s="373">
        <v>190.12800000000001</v>
      </c>
      <c r="D37" s="373">
        <v>2926.0140000000001</v>
      </c>
      <c r="E37" s="373">
        <v>3116.1420000000003</v>
      </c>
      <c r="F37" s="373">
        <v>3220.44</v>
      </c>
      <c r="H37" s="380">
        <f t="shared" si="2"/>
        <v>3397.8420000000001</v>
      </c>
      <c r="I37" s="380">
        <f t="shared" si="3"/>
        <v>177.40200000000004</v>
      </c>
    </row>
    <row r="38" spans="1:9" ht="14.25">
      <c r="A38" s="372" t="s">
        <v>93</v>
      </c>
      <c r="B38" s="373">
        <v>462.30800000000005</v>
      </c>
      <c r="C38" s="373">
        <v>373.99699999999996</v>
      </c>
      <c r="D38" s="373">
        <v>5254.5479999999998</v>
      </c>
      <c r="E38" s="373">
        <v>5628.5450000000001</v>
      </c>
      <c r="F38" s="373">
        <v>5914.6200000000008</v>
      </c>
      <c r="H38" s="380">
        <f t="shared" si="2"/>
        <v>6090.8530000000001</v>
      </c>
      <c r="I38" s="380">
        <f t="shared" si="3"/>
        <v>176.23299999999927</v>
      </c>
    </row>
    <row r="39" spans="1:9" ht="14.25">
      <c r="A39" s="372" t="s">
        <v>95</v>
      </c>
      <c r="B39" s="373">
        <v>1487.9319999999998</v>
      </c>
      <c r="C39" s="373">
        <v>1968.7290000000003</v>
      </c>
      <c r="D39" s="373">
        <v>17262.589</v>
      </c>
      <c r="E39" s="373">
        <v>19231.317999999999</v>
      </c>
      <c r="F39" s="373">
        <v>19614.072000000004</v>
      </c>
      <c r="H39" s="380">
        <f t="shared" si="2"/>
        <v>20719.25</v>
      </c>
      <c r="I39" s="380">
        <f t="shared" si="3"/>
        <v>1105.1779999999962</v>
      </c>
    </row>
    <row r="40" spans="1:9" ht="14.25">
      <c r="A40" s="372" t="s">
        <v>96</v>
      </c>
      <c r="B40" s="373">
        <v>962.44400000000019</v>
      </c>
      <c r="C40" s="373">
        <v>665.52</v>
      </c>
      <c r="D40" s="373">
        <v>8094.5749999999998</v>
      </c>
      <c r="E40" s="373">
        <v>8760.0949999999993</v>
      </c>
      <c r="F40" s="373">
        <v>9402.9210000000003</v>
      </c>
      <c r="H40" s="380">
        <f t="shared" si="2"/>
        <v>9722.5389999999989</v>
      </c>
      <c r="I40" s="380">
        <f t="shared" si="3"/>
        <v>319.61799999999857</v>
      </c>
    </row>
    <row r="41" spans="1:9" ht="14.25">
      <c r="A41" s="372" t="s">
        <v>97</v>
      </c>
      <c r="B41" s="373">
        <v>326.791</v>
      </c>
      <c r="C41" s="373">
        <v>245.7</v>
      </c>
      <c r="D41" s="373">
        <v>3560.4659999999999</v>
      </c>
      <c r="E41" s="373">
        <v>3806.1659999999997</v>
      </c>
      <c r="F41" s="373">
        <v>3956.9719999999998</v>
      </c>
      <c r="H41" s="380">
        <f t="shared" si="2"/>
        <v>4132.9569999999994</v>
      </c>
      <c r="I41" s="380">
        <f t="shared" si="3"/>
        <v>175.98499999999967</v>
      </c>
    </row>
    <row r="42" spans="1:9" ht="14.25">
      <c r="A42" s="372" t="s">
        <v>98</v>
      </c>
      <c r="B42" s="373">
        <v>1306.1099999999999</v>
      </c>
      <c r="C42" s="373">
        <v>972.42</v>
      </c>
      <c r="D42" s="373">
        <v>13169.09</v>
      </c>
      <c r="E42" s="373">
        <v>14141.51</v>
      </c>
      <c r="F42" s="373">
        <v>15005.849999999999</v>
      </c>
      <c r="H42" s="380">
        <f t="shared" si="2"/>
        <v>15447.62</v>
      </c>
      <c r="I42" s="380">
        <f t="shared" si="3"/>
        <v>441.77000000000226</v>
      </c>
    </row>
    <row r="43" spans="1:9" ht="14.25">
      <c r="A43" s="372" t="s">
        <v>99</v>
      </c>
      <c r="B43" s="373">
        <v>706.63499999999999</v>
      </c>
      <c r="C43" s="373">
        <v>547.53600000000006</v>
      </c>
      <c r="D43" s="373">
        <v>8043.0240000000013</v>
      </c>
      <c r="E43" s="373">
        <v>8590.5600000000013</v>
      </c>
      <c r="F43" s="373">
        <v>8902.7939999999999</v>
      </c>
      <c r="H43" s="380">
        <f t="shared" si="2"/>
        <v>9297.1950000000015</v>
      </c>
      <c r="I43" s="380">
        <f t="shared" si="3"/>
        <v>394.40100000000166</v>
      </c>
    </row>
    <row r="44" spans="1:9" ht="14.25">
      <c r="A44" s="374"/>
      <c r="B44" s="375"/>
      <c r="C44" s="375"/>
      <c r="D44" s="375"/>
      <c r="E44" s="375"/>
      <c r="F44" s="375"/>
      <c r="H44" s="380"/>
      <c r="I44" s="380"/>
    </row>
    <row r="45" spans="1:9" ht="14.25">
      <c r="A45" s="368" t="s">
        <v>16</v>
      </c>
      <c r="B45" s="369">
        <v>8531.5069999999996</v>
      </c>
      <c r="C45" s="369">
        <v>6640.3689999999997</v>
      </c>
      <c r="D45" s="369">
        <v>91627.438999999984</v>
      </c>
      <c r="E45" s="369">
        <v>98267.80799999999</v>
      </c>
      <c r="F45" s="369">
        <v>102789.79700000001</v>
      </c>
      <c r="H45" s="381">
        <f t="shared" ref="H45:H54" si="4">SUM(B45,E45)</f>
        <v>106799.31499999999</v>
      </c>
      <c r="I45" s="381">
        <f t="shared" ref="I45:I54" si="5">H45-F45</f>
        <v>4009.5179999999818</v>
      </c>
    </row>
    <row r="46" spans="1:9" ht="14.25">
      <c r="A46" s="370" t="s">
        <v>101</v>
      </c>
      <c r="B46" s="371">
        <v>660.95299999999997</v>
      </c>
      <c r="C46" s="371">
        <v>800.28</v>
      </c>
      <c r="D46" s="371">
        <v>9156.9599999999991</v>
      </c>
      <c r="E46" s="371">
        <v>9957.24</v>
      </c>
      <c r="F46" s="371">
        <v>10391.282999999999</v>
      </c>
      <c r="H46" s="386">
        <f t="shared" si="4"/>
        <v>10618.192999999999</v>
      </c>
      <c r="I46" s="386">
        <f t="shared" si="5"/>
        <v>226.90999999999985</v>
      </c>
    </row>
    <row r="47" spans="1:9" ht="14.25">
      <c r="A47" s="372" t="s">
        <v>102</v>
      </c>
      <c r="B47" s="373">
        <v>1398.96</v>
      </c>
      <c r="C47" s="373">
        <v>1077.45</v>
      </c>
      <c r="D47" s="373">
        <v>14751.165000000001</v>
      </c>
      <c r="E47" s="373">
        <v>15828.615000000002</v>
      </c>
      <c r="F47" s="373">
        <v>16510.031999999999</v>
      </c>
      <c r="H47" s="380">
        <f t="shared" si="4"/>
        <v>17227.575000000001</v>
      </c>
      <c r="I47" s="380">
        <f t="shared" si="5"/>
        <v>717.54300000000148</v>
      </c>
    </row>
    <row r="48" spans="1:9" ht="14.25">
      <c r="A48" s="372" t="s">
        <v>103</v>
      </c>
      <c r="B48" s="373">
        <v>669.37</v>
      </c>
      <c r="C48" s="373">
        <v>651.29999999999995</v>
      </c>
      <c r="D48" s="373">
        <v>8271.9</v>
      </c>
      <c r="E48" s="373">
        <v>8923.1999999999989</v>
      </c>
      <c r="F48" s="373">
        <v>9175.2570000000014</v>
      </c>
      <c r="H48" s="380">
        <f t="shared" si="4"/>
        <v>9592.57</v>
      </c>
      <c r="I48" s="380">
        <f t="shared" si="5"/>
        <v>417.31299999999828</v>
      </c>
    </row>
    <row r="49" spans="1:9" ht="14.25">
      <c r="A49" s="372" t="s">
        <v>104</v>
      </c>
      <c r="B49" s="373">
        <v>1844.3040000000001</v>
      </c>
      <c r="C49" s="373">
        <v>1330.57</v>
      </c>
      <c r="D49" s="373">
        <v>19160.207999999999</v>
      </c>
      <c r="E49" s="373">
        <v>20490.777999999998</v>
      </c>
      <c r="F49" s="373">
        <v>21532.559999999998</v>
      </c>
      <c r="H49" s="380">
        <f t="shared" si="4"/>
        <v>22335.081999999999</v>
      </c>
      <c r="I49" s="380">
        <f t="shared" si="5"/>
        <v>802.52200000000084</v>
      </c>
    </row>
    <row r="50" spans="1:9" ht="14.25">
      <c r="A50" s="372" t="s">
        <v>105</v>
      </c>
      <c r="B50" s="373">
        <v>1499.895</v>
      </c>
      <c r="C50" s="373">
        <v>1087.3720000000001</v>
      </c>
      <c r="D50" s="373">
        <v>15209.051000000001</v>
      </c>
      <c r="E50" s="373">
        <v>16296.423000000001</v>
      </c>
      <c r="F50" s="373">
        <v>16938.580000000002</v>
      </c>
      <c r="H50" s="380">
        <f t="shared" si="4"/>
        <v>17796.317999999999</v>
      </c>
      <c r="I50" s="380">
        <f t="shared" si="5"/>
        <v>857.73799999999756</v>
      </c>
    </row>
    <row r="51" spans="1:9" ht="14.25">
      <c r="A51" s="372" t="s">
        <v>106</v>
      </c>
      <c r="B51" s="373">
        <v>809.54499999999996</v>
      </c>
      <c r="C51" s="373">
        <v>483.81599999999997</v>
      </c>
      <c r="D51" s="373">
        <v>7632.9839999999995</v>
      </c>
      <c r="E51" s="373">
        <v>8116.7999999999993</v>
      </c>
      <c r="F51" s="373">
        <v>8651.1129999999994</v>
      </c>
      <c r="H51" s="380">
        <f t="shared" si="4"/>
        <v>8926.3449999999993</v>
      </c>
      <c r="I51" s="380">
        <f t="shared" si="5"/>
        <v>275.23199999999997</v>
      </c>
    </row>
    <row r="52" spans="1:9" ht="14.25">
      <c r="A52" s="408" t="s">
        <v>135</v>
      </c>
      <c r="B52" s="409">
        <v>582.80000000000007</v>
      </c>
      <c r="C52" s="409">
        <v>423.34499999999997</v>
      </c>
      <c r="D52" s="409">
        <v>6362.0319999999992</v>
      </c>
      <c r="E52" s="409">
        <v>6785.3769999999995</v>
      </c>
      <c r="F52" s="409">
        <v>7111.0320000000002</v>
      </c>
      <c r="H52" s="380">
        <f t="shared" si="4"/>
        <v>7368.1769999999997</v>
      </c>
      <c r="I52" s="380">
        <f t="shared" si="5"/>
        <v>257.14499999999953</v>
      </c>
    </row>
    <row r="53" spans="1:9" ht="14.25">
      <c r="A53" s="370" t="s">
        <v>107</v>
      </c>
      <c r="B53" s="371">
        <v>715.4559999999999</v>
      </c>
      <c r="C53" s="371">
        <v>540.10400000000004</v>
      </c>
      <c r="D53" s="371">
        <v>7339.7310000000007</v>
      </c>
      <c r="E53" s="371">
        <v>7879.8350000000009</v>
      </c>
      <c r="F53" s="371">
        <v>8277.7169999999987</v>
      </c>
      <c r="H53" s="380">
        <f t="shared" si="4"/>
        <v>8595.2910000000011</v>
      </c>
      <c r="I53" s="380">
        <f t="shared" si="5"/>
        <v>317.57400000000234</v>
      </c>
    </row>
    <row r="54" spans="1:9" ht="14.25">
      <c r="A54" s="372" t="s">
        <v>108</v>
      </c>
      <c r="B54" s="373">
        <v>350.22399999999999</v>
      </c>
      <c r="C54" s="373">
        <v>246.13199999999998</v>
      </c>
      <c r="D54" s="373">
        <v>3743.4079999999999</v>
      </c>
      <c r="E54" s="373">
        <v>3989.54</v>
      </c>
      <c r="F54" s="373">
        <v>4202.223</v>
      </c>
      <c r="H54" s="380">
        <f t="shared" si="4"/>
        <v>4339.7640000000001</v>
      </c>
      <c r="I54" s="380">
        <f t="shared" si="5"/>
        <v>137.54100000000017</v>
      </c>
    </row>
    <row r="55" spans="1:9" ht="14.25">
      <c r="A55" s="374"/>
      <c r="B55" s="375"/>
      <c r="C55" s="375"/>
      <c r="D55" s="375"/>
      <c r="E55" s="375"/>
      <c r="F55" s="375"/>
      <c r="H55" s="386"/>
      <c r="I55" s="386"/>
    </row>
    <row r="56" spans="1:9" ht="14.25">
      <c r="A56" s="368" t="s">
        <v>17</v>
      </c>
      <c r="B56" s="369">
        <v>10827.613000000001</v>
      </c>
      <c r="C56" s="369">
        <v>8590.7220000000016</v>
      </c>
      <c r="D56" s="369">
        <v>103194.303</v>
      </c>
      <c r="E56" s="369">
        <v>111785.02499999998</v>
      </c>
      <c r="F56" s="369">
        <v>118205.76000000001</v>
      </c>
      <c r="H56" s="381">
        <f t="shared" ref="H56:H65" si="6">SUM(B56,E56)</f>
        <v>122612.63799999998</v>
      </c>
      <c r="I56" s="381">
        <f t="shared" ref="I56:I65" si="7">H56-F56</f>
        <v>4406.8779999999679</v>
      </c>
    </row>
    <row r="57" spans="1:9" ht="14.25">
      <c r="A57" s="370" t="s">
        <v>109</v>
      </c>
      <c r="B57" s="371">
        <v>176.46399999999997</v>
      </c>
      <c r="C57" s="371">
        <v>157.29500000000002</v>
      </c>
      <c r="D57" s="371">
        <v>2429.5149999999999</v>
      </c>
      <c r="E57" s="371">
        <v>2586.81</v>
      </c>
      <c r="F57" s="371">
        <v>2642.7940000000003</v>
      </c>
      <c r="H57" s="380">
        <f t="shared" si="6"/>
        <v>2763.2739999999999</v>
      </c>
      <c r="I57" s="380">
        <f t="shared" si="7"/>
        <v>120.47999999999956</v>
      </c>
    </row>
    <row r="58" spans="1:9" ht="14.25">
      <c r="A58" s="372" t="s">
        <v>110</v>
      </c>
      <c r="B58" s="373">
        <v>4293.96</v>
      </c>
      <c r="C58" s="373">
        <v>4124.82</v>
      </c>
      <c r="D58" s="373">
        <v>45680.102999999996</v>
      </c>
      <c r="E58" s="373">
        <v>49804.922999999995</v>
      </c>
      <c r="F58" s="373">
        <v>51931.481000000007</v>
      </c>
      <c r="H58" s="380">
        <f t="shared" si="6"/>
        <v>54098.882999999994</v>
      </c>
      <c r="I58" s="380">
        <f t="shared" si="7"/>
        <v>2167.4019999999873</v>
      </c>
    </row>
    <row r="59" spans="1:9" ht="14.25">
      <c r="A59" s="372" t="s">
        <v>111</v>
      </c>
      <c r="B59" s="373">
        <v>1569.4739999999999</v>
      </c>
      <c r="C59" s="373">
        <v>1072.3600000000001</v>
      </c>
      <c r="D59" s="373">
        <v>12531.174000000001</v>
      </c>
      <c r="E59" s="373">
        <v>13603.534000000001</v>
      </c>
      <c r="F59" s="373">
        <v>14653.99</v>
      </c>
      <c r="H59" s="380">
        <f t="shared" si="6"/>
        <v>15173.008000000002</v>
      </c>
      <c r="I59" s="380">
        <f t="shared" si="7"/>
        <v>519.01800000000185</v>
      </c>
    </row>
    <row r="60" spans="1:9" ht="14.25">
      <c r="A60" s="372" t="s">
        <v>112</v>
      </c>
      <c r="B60" s="373">
        <v>803.54399999999987</v>
      </c>
      <c r="C60" s="373">
        <v>507.96</v>
      </c>
      <c r="D60" s="373">
        <v>6445.3799999999992</v>
      </c>
      <c r="E60" s="373">
        <v>6953.3399999999992</v>
      </c>
      <c r="F60" s="373">
        <v>7652.5720000000001</v>
      </c>
      <c r="H60" s="380">
        <f t="shared" si="6"/>
        <v>7756.8839999999991</v>
      </c>
      <c r="I60" s="380">
        <f t="shared" si="7"/>
        <v>104.31199999999899</v>
      </c>
    </row>
    <row r="61" spans="1:9" ht="14.25">
      <c r="A61" s="372" t="s">
        <v>113</v>
      </c>
      <c r="B61" s="373">
        <v>690.745</v>
      </c>
      <c r="C61" s="373">
        <v>464.55</v>
      </c>
      <c r="D61" s="373">
        <v>6276.46</v>
      </c>
      <c r="E61" s="373">
        <v>6741.01</v>
      </c>
      <c r="F61" s="373">
        <v>7205.7</v>
      </c>
      <c r="H61" s="380">
        <f t="shared" si="6"/>
        <v>7431.7550000000001</v>
      </c>
      <c r="I61" s="380">
        <f t="shared" si="7"/>
        <v>226.05500000000029</v>
      </c>
    </row>
    <row r="62" spans="1:9" ht="14.25">
      <c r="A62" s="372" t="s">
        <v>114</v>
      </c>
      <c r="B62" s="373">
        <v>283.80799999999999</v>
      </c>
      <c r="C62" s="373">
        <v>247.81800000000001</v>
      </c>
      <c r="D62" s="373">
        <v>3096.7980000000002</v>
      </c>
      <c r="E62" s="373">
        <v>3344.6160000000004</v>
      </c>
      <c r="F62" s="373">
        <v>3472.5520000000001</v>
      </c>
      <c r="H62" s="380">
        <f t="shared" si="6"/>
        <v>3628.4240000000004</v>
      </c>
      <c r="I62" s="380">
        <f t="shared" si="7"/>
        <v>155.8720000000003</v>
      </c>
    </row>
    <row r="63" spans="1:9" ht="14.25">
      <c r="A63" s="372" t="s">
        <v>115</v>
      </c>
      <c r="B63" s="373">
        <v>963.3119999999999</v>
      </c>
      <c r="C63" s="373">
        <v>504.43200000000007</v>
      </c>
      <c r="D63" s="373">
        <v>7227.9360000000006</v>
      </c>
      <c r="E63" s="373">
        <v>7732.3680000000004</v>
      </c>
      <c r="F63" s="373">
        <v>8436.9809999999998</v>
      </c>
      <c r="H63" s="380">
        <f t="shared" si="6"/>
        <v>8695.68</v>
      </c>
      <c r="I63" s="380">
        <f t="shared" si="7"/>
        <v>258.69900000000052</v>
      </c>
    </row>
    <row r="64" spans="1:9" ht="14.25">
      <c r="A64" s="372" t="s">
        <v>116</v>
      </c>
      <c r="B64" s="373">
        <v>1639.2180000000001</v>
      </c>
      <c r="C64" s="373">
        <v>1116.5119999999999</v>
      </c>
      <c r="D64" s="373">
        <v>14946.871999999999</v>
      </c>
      <c r="E64" s="373">
        <v>16063.384</v>
      </c>
      <c r="F64" s="373">
        <v>17061</v>
      </c>
      <c r="H64" s="380">
        <f t="shared" si="6"/>
        <v>17702.601999999999</v>
      </c>
      <c r="I64" s="380">
        <f t="shared" si="7"/>
        <v>641.60199999999895</v>
      </c>
    </row>
    <row r="65" spans="1:9" ht="14.25">
      <c r="A65" s="372" t="s">
        <v>117</v>
      </c>
      <c r="B65" s="373">
        <v>407.08800000000002</v>
      </c>
      <c r="C65" s="373">
        <v>394.97500000000002</v>
      </c>
      <c r="D65" s="373">
        <v>4560.0649999999996</v>
      </c>
      <c r="E65" s="373">
        <v>4955.04</v>
      </c>
      <c r="F65" s="373">
        <v>5148.6899999999996</v>
      </c>
      <c r="H65" s="380">
        <f t="shared" si="6"/>
        <v>5362.1279999999997</v>
      </c>
      <c r="I65" s="380">
        <f t="shared" si="7"/>
        <v>213.4380000000001</v>
      </c>
    </row>
    <row r="66" spans="1:9" ht="14.25">
      <c r="A66" s="374"/>
      <c r="B66" s="375"/>
      <c r="C66" s="375"/>
      <c r="D66" s="375"/>
      <c r="E66" s="375"/>
      <c r="F66" s="375"/>
      <c r="H66" s="381"/>
      <c r="I66" s="381"/>
    </row>
    <row r="67" spans="1:9" ht="14.25">
      <c r="A67" s="368" t="s">
        <v>381</v>
      </c>
      <c r="B67" s="369">
        <v>12402.462999999998</v>
      </c>
      <c r="C67" s="369">
        <v>10251.062</v>
      </c>
      <c r="D67" s="369">
        <v>119391.26200000002</v>
      </c>
      <c r="E67" s="369">
        <v>129642.32399999999</v>
      </c>
      <c r="F67" s="369">
        <v>137941.84399999998</v>
      </c>
      <c r="H67" s="381">
        <f t="shared" ref="H67:H93" si="8">SUM(B67,E67)</f>
        <v>142044.78699999998</v>
      </c>
      <c r="I67" s="381">
        <f t="shared" ref="I67:I93" si="9">H67-F67</f>
        <v>4102.9429999999993</v>
      </c>
    </row>
    <row r="68" spans="1:9" ht="14.25">
      <c r="A68" s="370" t="s">
        <v>69</v>
      </c>
      <c r="B68" s="371">
        <v>376.09399999999999</v>
      </c>
      <c r="C68" s="371">
        <v>296.34900000000005</v>
      </c>
      <c r="D68" s="371">
        <v>4242.652</v>
      </c>
      <c r="E68" s="371">
        <v>4539.0010000000002</v>
      </c>
      <c r="F68" s="371">
        <v>4759.2210000000005</v>
      </c>
      <c r="H68" s="380">
        <f t="shared" si="8"/>
        <v>4915.0950000000003</v>
      </c>
      <c r="I68" s="380">
        <f t="shared" si="9"/>
        <v>155.8739999999998</v>
      </c>
    </row>
    <row r="69" spans="1:9" ht="14.25">
      <c r="A69" s="372" t="s">
        <v>70</v>
      </c>
      <c r="B69" s="373">
        <v>147.43899999999999</v>
      </c>
      <c r="C69" s="373">
        <v>111.36</v>
      </c>
      <c r="D69" s="373">
        <v>1791.8400000000001</v>
      </c>
      <c r="E69" s="373">
        <v>1903.2</v>
      </c>
      <c r="F69" s="373">
        <v>1984.2240000000002</v>
      </c>
      <c r="H69" s="380">
        <f t="shared" si="8"/>
        <v>2050.6390000000001</v>
      </c>
      <c r="I69" s="380">
        <f t="shared" si="9"/>
        <v>66.414999999999964</v>
      </c>
    </row>
    <row r="70" spans="1:9" ht="14.25">
      <c r="A70" s="372" t="s">
        <v>64</v>
      </c>
      <c r="B70" s="373">
        <v>1091.664</v>
      </c>
      <c r="C70" s="373">
        <v>586.55100000000004</v>
      </c>
      <c r="D70" s="373">
        <v>11283.594000000001</v>
      </c>
      <c r="E70" s="373">
        <v>11870.145</v>
      </c>
      <c r="F70" s="373">
        <v>12710.115000000002</v>
      </c>
      <c r="H70" s="380">
        <f t="shared" si="8"/>
        <v>12961.809000000001</v>
      </c>
      <c r="I70" s="380">
        <f t="shared" si="9"/>
        <v>251.69399999999951</v>
      </c>
    </row>
    <row r="71" spans="1:9" ht="14.25">
      <c r="A71" s="372" t="s">
        <v>71</v>
      </c>
      <c r="B71" s="373">
        <v>102.896</v>
      </c>
      <c r="C71" s="373">
        <v>58.344000000000008</v>
      </c>
      <c r="D71" s="373">
        <v>894.89400000000012</v>
      </c>
      <c r="E71" s="373">
        <v>953.23800000000017</v>
      </c>
      <c r="F71" s="373">
        <v>1000.7900000000001</v>
      </c>
      <c r="H71" s="380">
        <f t="shared" si="8"/>
        <v>1056.1340000000002</v>
      </c>
      <c r="I71" s="380">
        <f t="shared" si="9"/>
        <v>55.344000000000165</v>
      </c>
    </row>
    <row r="72" spans="1:9" ht="14.25">
      <c r="A72" s="372" t="s">
        <v>65</v>
      </c>
      <c r="B72" s="373">
        <v>524.58600000000001</v>
      </c>
      <c r="C72" s="373">
        <v>342.166</v>
      </c>
      <c r="D72" s="373">
        <v>5869.0680000000002</v>
      </c>
      <c r="E72" s="373">
        <v>6211.2340000000004</v>
      </c>
      <c r="F72" s="373">
        <v>6530.34</v>
      </c>
      <c r="H72" s="380">
        <f t="shared" si="8"/>
        <v>6735.8200000000006</v>
      </c>
      <c r="I72" s="380">
        <f t="shared" si="9"/>
        <v>205.48000000000047</v>
      </c>
    </row>
    <row r="73" spans="1:9" ht="14.25">
      <c r="A73" s="372" t="s">
        <v>72</v>
      </c>
      <c r="B73" s="373">
        <v>131.78</v>
      </c>
      <c r="C73" s="373">
        <v>68.544000000000011</v>
      </c>
      <c r="D73" s="373">
        <v>1053.3600000000001</v>
      </c>
      <c r="E73" s="373">
        <v>1121.9040000000002</v>
      </c>
      <c r="F73" s="373">
        <v>1212.2530000000002</v>
      </c>
      <c r="H73" s="380">
        <f t="shared" si="8"/>
        <v>1253.6840000000002</v>
      </c>
      <c r="I73" s="380">
        <f t="shared" si="9"/>
        <v>41.43100000000004</v>
      </c>
    </row>
    <row r="74" spans="1:9" ht="14.25">
      <c r="A74" s="408" t="s">
        <v>89</v>
      </c>
      <c r="B74" s="409">
        <v>555.74399999999991</v>
      </c>
      <c r="C74" s="409">
        <v>423.64499999999998</v>
      </c>
      <c r="D74" s="409">
        <v>5787.741</v>
      </c>
      <c r="E74" s="409">
        <v>6211.3860000000004</v>
      </c>
      <c r="F74" s="409">
        <v>6492.1680000000006</v>
      </c>
      <c r="H74" s="380">
        <f t="shared" si="8"/>
        <v>6767.13</v>
      </c>
      <c r="I74" s="380">
        <f t="shared" si="9"/>
        <v>274.96199999999953</v>
      </c>
    </row>
    <row r="75" spans="1:9" ht="14.25">
      <c r="A75" s="406" t="s">
        <v>73</v>
      </c>
      <c r="B75" s="377">
        <v>1226.28</v>
      </c>
      <c r="C75" s="377">
        <v>695.66000000000008</v>
      </c>
      <c r="D75" s="377">
        <v>7587.7200000000012</v>
      </c>
      <c r="E75" s="377">
        <v>8283.380000000001</v>
      </c>
      <c r="F75" s="377">
        <v>9449.7079999999987</v>
      </c>
      <c r="H75" s="380">
        <f t="shared" si="8"/>
        <v>9509.6600000000017</v>
      </c>
      <c r="I75" s="380">
        <f t="shared" si="9"/>
        <v>59.952000000002954</v>
      </c>
    </row>
    <row r="76" spans="1:9" ht="14.25">
      <c r="A76" s="406" t="s">
        <v>74</v>
      </c>
      <c r="B76" s="377">
        <v>319.12100000000004</v>
      </c>
      <c r="C76" s="377">
        <v>155.68099999999998</v>
      </c>
      <c r="D76" s="377">
        <v>2526.683</v>
      </c>
      <c r="E76" s="377">
        <v>2682.364</v>
      </c>
      <c r="F76" s="377">
        <v>2883.4560000000001</v>
      </c>
      <c r="H76" s="380">
        <f t="shared" si="8"/>
        <v>3001.4850000000001</v>
      </c>
      <c r="I76" s="380">
        <f t="shared" si="9"/>
        <v>118.029</v>
      </c>
    </row>
    <row r="77" spans="1:9" ht="14.25">
      <c r="A77" s="406" t="s">
        <v>75</v>
      </c>
      <c r="B77" s="377">
        <v>341.85199999999998</v>
      </c>
      <c r="C77" s="377">
        <v>145.06800000000001</v>
      </c>
      <c r="D77" s="377">
        <v>3323.9360000000001</v>
      </c>
      <c r="E77" s="377">
        <v>3469.0040000000004</v>
      </c>
      <c r="F77" s="377">
        <v>3694.6</v>
      </c>
      <c r="H77" s="380">
        <f t="shared" si="8"/>
        <v>3810.8560000000002</v>
      </c>
      <c r="I77" s="380">
        <f t="shared" si="9"/>
        <v>116.25600000000031</v>
      </c>
    </row>
    <row r="78" spans="1:9" ht="14.25">
      <c r="A78" s="406" t="s">
        <v>76</v>
      </c>
      <c r="B78" s="377">
        <v>118.32</v>
      </c>
      <c r="C78" s="377">
        <v>59.34</v>
      </c>
      <c r="D78" s="377">
        <v>961.86000000000013</v>
      </c>
      <c r="E78" s="377">
        <v>1021.2000000000002</v>
      </c>
      <c r="F78" s="377">
        <v>1096.5239999999999</v>
      </c>
      <c r="H78" s="380">
        <f t="shared" si="8"/>
        <v>1139.5200000000002</v>
      </c>
      <c r="I78" s="380">
        <f t="shared" si="9"/>
        <v>42.996000000000322</v>
      </c>
    </row>
    <row r="79" spans="1:9" ht="14.25">
      <c r="A79" s="406" t="s">
        <v>77</v>
      </c>
      <c r="B79" s="377">
        <v>154.40100000000001</v>
      </c>
      <c r="C79" s="377">
        <v>191.316</v>
      </c>
      <c r="D79" s="377">
        <v>2007.328</v>
      </c>
      <c r="E79" s="377">
        <v>2198.6439999999998</v>
      </c>
      <c r="F79" s="377">
        <v>2227.085</v>
      </c>
      <c r="H79" s="380">
        <f t="shared" si="8"/>
        <v>2353.0449999999996</v>
      </c>
      <c r="I79" s="380">
        <f t="shared" si="9"/>
        <v>125.95999999999958</v>
      </c>
    </row>
    <row r="80" spans="1:9" ht="14.25">
      <c r="A80" s="406" t="s">
        <v>78</v>
      </c>
      <c r="B80" s="377">
        <v>54.372000000000007</v>
      </c>
      <c r="C80" s="377">
        <v>27.599999999999998</v>
      </c>
      <c r="D80" s="377">
        <v>595.976</v>
      </c>
      <c r="E80" s="377">
        <v>623.57600000000002</v>
      </c>
      <c r="F80" s="377">
        <v>655.78899999999999</v>
      </c>
      <c r="H80" s="380">
        <f t="shared" si="8"/>
        <v>677.94799999999998</v>
      </c>
      <c r="I80" s="380">
        <f t="shared" si="9"/>
        <v>22.158999999999992</v>
      </c>
    </row>
    <row r="81" spans="1:12" ht="14.25">
      <c r="A81" s="406" t="s">
        <v>79</v>
      </c>
      <c r="B81" s="377">
        <v>99.24</v>
      </c>
      <c r="C81" s="377">
        <v>61.00800000000001</v>
      </c>
      <c r="D81" s="377">
        <v>1048.4820000000002</v>
      </c>
      <c r="E81" s="377">
        <v>1109.4900000000002</v>
      </c>
      <c r="F81" s="377">
        <v>1188.5640000000001</v>
      </c>
      <c r="H81" s="380">
        <f t="shared" si="8"/>
        <v>1208.7300000000002</v>
      </c>
      <c r="I81" s="380">
        <f t="shared" si="9"/>
        <v>20.166000000000167</v>
      </c>
    </row>
    <row r="82" spans="1:12" ht="14.25">
      <c r="A82" s="406" t="s">
        <v>80</v>
      </c>
      <c r="B82" s="377">
        <v>155.4</v>
      </c>
      <c r="C82" s="377">
        <v>103.44800000000001</v>
      </c>
      <c r="D82" s="377">
        <v>1663.4760000000001</v>
      </c>
      <c r="E82" s="377">
        <v>1766.9240000000002</v>
      </c>
      <c r="F82" s="377">
        <v>1860.739</v>
      </c>
      <c r="H82" s="380">
        <f t="shared" si="8"/>
        <v>1922.3240000000003</v>
      </c>
      <c r="I82" s="380">
        <f t="shared" si="9"/>
        <v>61.585000000000264</v>
      </c>
    </row>
    <row r="83" spans="1:12" ht="14.25">
      <c r="A83" s="406" t="s">
        <v>94</v>
      </c>
      <c r="B83" s="377">
        <v>737.6160000000001</v>
      </c>
      <c r="C83" s="377">
        <v>565.64099999999996</v>
      </c>
      <c r="D83" s="377">
        <v>8220.384</v>
      </c>
      <c r="E83" s="377">
        <v>8786.0249999999996</v>
      </c>
      <c r="F83" s="377">
        <v>9125.2470000000012</v>
      </c>
      <c r="H83" s="380">
        <f t="shared" si="8"/>
        <v>9523.6409999999996</v>
      </c>
      <c r="I83" s="380">
        <f t="shared" si="9"/>
        <v>398.39399999999841</v>
      </c>
    </row>
    <row r="84" spans="1:12" ht="14.25">
      <c r="A84" s="406" t="s">
        <v>66</v>
      </c>
      <c r="B84" s="377">
        <v>1828.2</v>
      </c>
      <c r="C84" s="377">
        <v>1800.03</v>
      </c>
      <c r="D84" s="377">
        <v>20314.355</v>
      </c>
      <c r="E84" s="377">
        <v>22114.384999999998</v>
      </c>
      <c r="F84" s="377">
        <v>23256.471000000001</v>
      </c>
      <c r="H84" s="380">
        <f t="shared" si="8"/>
        <v>23942.584999999999</v>
      </c>
      <c r="I84" s="380">
        <f t="shared" si="9"/>
        <v>686.11399999999776</v>
      </c>
    </row>
    <row r="85" spans="1:12" ht="14.25">
      <c r="A85" s="407" t="s">
        <v>81</v>
      </c>
      <c r="B85" s="378">
        <v>132.55200000000002</v>
      </c>
      <c r="C85" s="378">
        <v>85.146000000000001</v>
      </c>
      <c r="D85" s="378">
        <v>1568.922</v>
      </c>
      <c r="E85" s="378">
        <v>1654.068</v>
      </c>
      <c r="F85" s="378">
        <v>1741.3300000000002</v>
      </c>
      <c r="H85" s="380">
        <f t="shared" si="8"/>
        <v>1786.62</v>
      </c>
      <c r="I85" s="380">
        <f t="shared" si="9"/>
        <v>45.289999999999736</v>
      </c>
    </row>
    <row r="86" spans="1:12" ht="14.25">
      <c r="A86" s="372" t="s">
        <v>67</v>
      </c>
      <c r="B86" s="373">
        <v>1642.1130000000001</v>
      </c>
      <c r="C86" s="373">
        <v>1471.9039999999998</v>
      </c>
      <c r="D86" s="373">
        <v>12028.687999999998</v>
      </c>
      <c r="E86" s="373">
        <v>13500.591999999999</v>
      </c>
      <c r="F86" s="373">
        <v>14986.576000000001</v>
      </c>
      <c r="H86" s="380">
        <f t="shared" si="8"/>
        <v>15142.704999999998</v>
      </c>
      <c r="I86" s="380">
        <f t="shared" si="9"/>
        <v>156.12899999999718</v>
      </c>
    </row>
    <row r="87" spans="1:12" ht="14.25">
      <c r="A87" s="372" t="s">
        <v>82</v>
      </c>
      <c r="B87" s="373">
        <v>108.17100000000001</v>
      </c>
      <c r="C87" s="373">
        <v>48.656999999999996</v>
      </c>
      <c r="D87" s="373">
        <v>1045.0229999999999</v>
      </c>
      <c r="E87" s="373">
        <v>1093.6799999999998</v>
      </c>
      <c r="F87" s="373">
        <v>1162.9390000000001</v>
      </c>
      <c r="H87" s="380">
        <f t="shared" si="8"/>
        <v>1201.8509999999999</v>
      </c>
      <c r="I87" s="380">
        <f t="shared" si="9"/>
        <v>38.911999999999807</v>
      </c>
    </row>
    <row r="88" spans="1:12" ht="14.25">
      <c r="A88" s="372" t="s">
        <v>83</v>
      </c>
      <c r="B88" s="373">
        <v>337.70000000000005</v>
      </c>
      <c r="C88" s="373">
        <v>371.94299999999998</v>
      </c>
      <c r="D88" s="373">
        <v>3355.1369999999997</v>
      </c>
      <c r="E88" s="373">
        <v>3727.08</v>
      </c>
      <c r="F88" s="373">
        <v>3908.27</v>
      </c>
      <c r="H88" s="380">
        <f t="shared" si="8"/>
        <v>4064.7799999999997</v>
      </c>
      <c r="I88" s="380">
        <f t="shared" si="9"/>
        <v>156.50999999999976</v>
      </c>
    </row>
    <row r="89" spans="1:12" ht="14.25">
      <c r="A89" s="372" t="s">
        <v>68</v>
      </c>
      <c r="B89" s="373">
        <v>625.51800000000003</v>
      </c>
      <c r="C89" s="373">
        <v>414.79200000000003</v>
      </c>
      <c r="D89" s="373">
        <v>6133.0080000000007</v>
      </c>
      <c r="E89" s="373">
        <v>6547.8000000000011</v>
      </c>
      <c r="F89" s="373">
        <v>6843.012999999999</v>
      </c>
      <c r="H89" s="380">
        <f t="shared" si="8"/>
        <v>7173.3180000000011</v>
      </c>
      <c r="I89" s="380">
        <f t="shared" si="9"/>
        <v>330.30500000000211</v>
      </c>
    </row>
    <row r="90" spans="1:12" ht="14.25">
      <c r="A90" s="372" t="s">
        <v>84</v>
      </c>
      <c r="B90" s="373">
        <v>136.768</v>
      </c>
      <c r="C90" s="373">
        <v>62.204999999999998</v>
      </c>
      <c r="D90" s="373">
        <v>1024.7149999999999</v>
      </c>
      <c r="E90" s="373">
        <v>1086.9199999999998</v>
      </c>
      <c r="F90" s="373">
        <v>1194.492</v>
      </c>
      <c r="H90" s="380">
        <f t="shared" si="8"/>
        <v>1223.6879999999999</v>
      </c>
      <c r="I90" s="380">
        <f t="shared" si="9"/>
        <v>29.195999999999913</v>
      </c>
    </row>
    <row r="91" spans="1:12" ht="14.25">
      <c r="A91" s="372" t="s">
        <v>85</v>
      </c>
      <c r="B91" s="373">
        <v>1313.04</v>
      </c>
      <c r="C91" s="373">
        <v>2022.9</v>
      </c>
      <c r="D91" s="373">
        <v>13527.624</v>
      </c>
      <c r="E91" s="373">
        <v>15550.523999999999</v>
      </c>
      <c r="F91" s="373">
        <v>16268.364000000001</v>
      </c>
      <c r="H91" s="380">
        <f t="shared" si="8"/>
        <v>16863.563999999998</v>
      </c>
      <c r="I91" s="380">
        <f t="shared" si="9"/>
        <v>595.19999999999709</v>
      </c>
    </row>
    <row r="92" spans="1:12" ht="14.25">
      <c r="A92" s="372" t="s">
        <v>86</v>
      </c>
      <c r="B92" s="373">
        <v>45.764000000000003</v>
      </c>
      <c r="C92" s="373">
        <v>27.169999999999998</v>
      </c>
      <c r="D92" s="373">
        <v>523.75400000000002</v>
      </c>
      <c r="E92" s="373">
        <v>550.92399999999998</v>
      </c>
      <c r="F92" s="373">
        <v>562.53000000000009</v>
      </c>
      <c r="H92" s="380">
        <f t="shared" si="8"/>
        <v>596.68799999999999</v>
      </c>
      <c r="I92" s="380">
        <f t="shared" si="9"/>
        <v>34.157999999999902</v>
      </c>
    </row>
    <row r="93" spans="1:12" ht="14.25">
      <c r="A93" s="372" t="s">
        <v>87</v>
      </c>
      <c r="B93" s="373">
        <v>95.832000000000008</v>
      </c>
      <c r="C93" s="373">
        <v>54.594000000000001</v>
      </c>
      <c r="D93" s="373">
        <v>1011.042</v>
      </c>
      <c r="E93" s="373">
        <v>1065.636</v>
      </c>
      <c r="F93" s="373">
        <v>1147.0360000000001</v>
      </c>
      <c r="H93" s="380">
        <f t="shared" si="8"/>
        <v>1161.4680000000001</v>
      </c>
      <c r="I93" s="380">
        <f t="shared" si="9"/>
        <v>14.432000000000016</v>
      </c>
    </row>
    <row r="94" spans="1:12" ht="14.25">
      <c r="A94" s="374"/>
      <c r="B94" s="375"/>
      <c r="C94" s="375"/>
      <c r="D94" s="375"/>
      <c r="E94" s="375"/>
      <c r="F94" s="375"/>
      <c r="H94" s="380"/>
      <c r="I94" s="380"/>
    </row>
    <row r="95" spans="1:12" ht="14.25">
      <c r="A95" s="368" t="s">
        <v>428</v>
      </c>
      <c r="B95" s="369">
        <v>8641.6089999999986</v>
      </c>
      <c r="C95" s="369">
        <v>8244.7570000000014</v>
      </c>
      <c r="D95" s="369">
        <v>101671.47499999999</v>
      </c>
      <c r="E95" s="369">
        <v>109916.23199999999</v>
      </c>
      <c r="F95" s="369">
        <v>114664.30399999997</v>
      </c>
      <c r="H95" s="381">
        <f t="shared" ref="H95:H117" si="10">SUM(B95,E95)</f>
        <v>118557.84099999999</v>
      </c>
      <c r="I95" s="381">
        <f t="shared" ref="I95:I117" si="11">H95-F95</f>
        <v>3893.5370000000112</v>
      </c>
      <c r="K95" s="380"/>
      <c r="L95" s="380"/>
    </row>
    <row r="96" spans="1:12" ht="14.25">
      <c r="A96" s="370" t="s">
        <v>118</v>
      </c>
      <c r="B96" s="371">
        <v>315.51100000000002</v>
      </c>
      <c r="C96" s="371">
        <v>221.76000000000002</v>
      </c>
      <c r="D96" s="371">
        <v>3603.6000000000004</v>
      </c>
      <c r="E96" s="371">
        <v>3825.3600000000006</v>
      </c>
      <c r="F96" s="371">
        <v>3969.4820000000004</v>
      </c>
      <c r="H96" s="380">
        <f t="shared" si="10"/>
        <v>4140.871000000001</v>
      </c>
      <c r="I96" s="380">
        <f t="shared" si="11"/>
        <v>171.38900000000058</v>
      </c>
    </row>
    <row r="97" spans="1:9" ht="14.25">
      <c r="A97" s="372" t="s">
        <v>119</v>
      </c>
      <c r="B97" s="373">
        <v>132.08000000000001</v>
      </c>
      <c r="C97" s="373">
        <v>85.784999999999997</v>
      </c>
      <c r="D97" s="373">
        <v>1339.2349999999999</v>
      </c>
      <c r="E97" s="373">
        <v>1425.02</v>
      </c>
      <c r="F97" s="373">
        <v>1515.057</v>
      </c>
      <c r="H97" s="380">
        <f t="shared" si="10"/>
        <v>1557.1</v>
      </c>
      <c r="I97" s="380">
        <f t="shared" si="11"/>
        <v>42.042999999999893</v>
      </c>
    </row>
    <row r="98" spans="1:9" ht="14.25">
      <c r="A98" s="372" t="s">
        <v>120</v>
      </c>
      <c r="B98" s="373">
        <v>248.21300000000002</v>
      </c>
      <c r="C98" s="373">
        <v>170.47799999999998</v>
      </c>
      <c r="D98" s="373">
        <v>2799.0899999999997</v>
      </c>
      <c r="E98" s="373">
        <v>2969.5679999999998</v>
      </c>
      <c r="F98" s="373">
        <v>3127.2829999999999</v>
      </c>
      <c r="H98" s="380">
        <f t="shared" si="10"/>
        <v>3217.7809999999999</v>
      </c>
      <c r="I98" s="380">
        <f t="shared" si="11"/>
        <v>90.498000000000047</v>
      </c>
    </row>
    <row r="99" spans="1:9" ht="14.25">
      <c r="A99" s="372" t="s">
        <v>121</v>
      </c>
      <c r="B99" s="373">
        <v>168.64600000000002</v>
      </c>
      <c r="C99" s="373">
        <v>143.72400000000002</v>
      </c>
      <c r="D99" s="373">
        <v>2515.5240000000003</v>
      </c>
      <c r="E99" s="373">
        <v>2659.2480000000005</v>
      </c>
      <c r="F99" s="373">
        <v>2709.4</v>
      </c>
      <c r="H99" s="380">
        <f t="shared" si="10"/>
        <v>2827.8940000000007</v>
      </c>
      <c r="I99" s="380">
        <f t="shared" si="11"/>
        <v>118.4940000000006</v>
      </c>
    </row>
    <row r="100" spans="1:9" ht="14.25">
      <c r="A100" s="372" t="s">
        <v>122</v>
      </c>
      <c r="B100" s="373">
        <v>1853.8520000000001</v>
      </c>
      <c r="C100" s="373">
        <v>1505.3559999999998</v>
      </c>
      <c r="D100" s="373">
        <v>25063.463999999996</v>
      </c>
      <c r="E100" s="373">
        <v>26568.819999999996</v>
      </c>
      <c r="F100" s="373">
        <v>27558.63</v>
      </c>
      <c r="H100" s="380">
        <f t="shared" si="10"/>
        <v>28422.671999999995</v>
      </c>
      <c r="I100" s="380">
        <f t="shared" si="11"/>
        <v>864.041999999994</v>
      </c>
    </row>
    <row r="101" spans="1:9" ht="14.25">
      <c r="A101" s="372" t="s">
        <v>123</v>
      </c>
      <c r="B101" s="373">
        <v>610.45600000000002</v>
      </c>
      <c r="C101" s="373">
        <v>596.15199999999993</v>
      </c>
      <c r="D101" s="373">
        <v>8175.3319999999994</v>
      </c>
      <c r="E101" s="373">
        <v>8771.4839999999986</v>
      </c>
      <c r="F101" s="373">
        <v>9017.0690000000013</v>
      </c>
      <c r="H101" s="380">
        <f t="shared" si="10"/>
        <v>9381.9399999999987</v>
      </c>
      <c r="I101" s="380">
        <f t="shared" si="11"/>
        <v>364.87099999999737</v>
      </c>
    </row>
    <row r="102" spans="1:9" ht="14.25">
      <c r="A102" s="372" t="s">
        <v>124</v>
      </c>
      <c r="B102" s="373">
        <v>228.63600000000002</v>
      </c>
      <c r="C102" s="373">
        <v>144.48000000000002</v>
      </c>
      <c r="D102" s="373">
        <v>2507.7360000000003</v>
      </c>
      <c r="E102" s="373">
        <v>2652.2160000000003</v>
      </c>
      <c r="F102" s="373">
        <v>2802.94</v>
      </c>
      <c r="H102" s="380">
        <f t="shared" si="10"/>
        <v>2880.8520000000003</v>
      </c>
      <c r="I102" s="380">
        <f t="shared" si="11"/>
        <v>77.912000000000262</v>
      </c>
    </row>
    <row r="103" spans="1:9" ht="14.25">
      <c r="A103" s="372" t="s">
        <v>125</v>
      </c>
      <c r="B103" s="373">
        <v>129.29999999999998</v>
      </c>
      <c r="C103" s="373">
        <v>63.295999999999999</v>
      </c>
      <c r="D103" s="373">
        <v>1076.952</v>
      </c>
      <c r="E103" s="373">
        <v>1140.248</v>
      </c>
      <c r="F103" s="373">
        <v>1235.6759999999999</v>
      </c>
      <c r="H103" s="380">
        <f t="shared" si="10"/>
        <v>1269.548</v>
      </c>
      <c r="I103" s="380">
        <f t="shared" si="11"/>
        <v>33.872000000000071</v>
      </c>
    </row>
    <row r="104" spans="1:9" ht="14.25">
      <c r="A104" s="372" t="s">
        <v>126</v>
      </c>
      <c r="B104" s="373">
        <v>107.71200000000002</v>
      </c>
      <c r="C104" s="373">
        <v>80.028000000000006</v>
      </c>
      <c r="D104" s="373">
        <v>1029.876</v>
      </c>
      <c r="E104" s="373">
        <v>1109.904</v>
      </c>
      <c r="F104" s="373">
        <v>1183.7040000000002</v>
      </c>
      <c r="H104" s="380">
        <f t="shared" si="10"/>
        <v>1217.616</v>
      </c>
      <c r="I104" s="380">
        <f t="shared" si="11"/>
        <v>33.911999999999807</v>
      </c>
    </row>
    <row r="105" spans="1:9" ht="14.25">
      <c r="A105" s="372" t="s">
        <v>127</v>
      </c>
      <c r="B105" s="373">
        <v>409.83299999999997</v>
      </c>
      <c r="C105" s="373">
        <v>290</v>
      </c>
      <c r="D105" s="373">
        <v>4902.16</v>
      </c>
      <c r="E105" s="373">
        <v>5192.16</v>
      </c>
      <c r="F105" s="373">
        <v>5440.6799999999994</v>
      </c>
      <c r="H105" s="380">
        <f t="shared" si="10"/>
        <v>5601.9929999999995</v>
      </c>
      <c r="I105" s="380">
        <f t="shared" si="11"/>
        <v>161.3130000000001</v>
      </c>
    </row>
    <row r="106" spans="1:9" ht="14.25">
      <c r="A106" s="372" t="s">
        <v>128</v>
      </c>
      <c r="B106" s="373">
        <v>1107.548</v>
      </c>
      <c r="C106" s="373">
        <v>665.26</v>
      </c>
      <c r="D106" s="373">
        <v>11322</v>
      </c>
      <c r="E106" s="373">
        <v>11987.26</v>
      </c>
      <c r="F106" s="373">
        <v>12702.335999999999</v>
      </c>
      <c r="H106" s="380">
        <f t="shared" si="10"/>
        <v>13094.808000000001</v>
      </c>
      <c r="I106" s="380">
        <f t="shared" si="11"/>
        <v>392.47200000000157</v>
      </c>
    </row>
    <row r="107" spans="1:9" ht="14.25">
      <c r="A107" s="372" t="s">
        <v>129</v>
      </c>
      <c r="B107" s="373">
        <v>489.79699999999997</v>
      </c>
      <c r="C107" s="373">
        <v>892.59399999999994</v>
      </c>
      <c r="D107" s="373">
        <v>5229.09</v>
      </c>
      <c r="E107" s="373">
        <v>6121.6840000000002</v>
      </c>
      <c r="F107" s="373">
        <v>6363.9939999999997</v>
      </c>
      <c r="H107" s="380">
        <f t="shared" si="10"/>
        <v>6611.4809999999998</v>
      </c>
      <c r="I107" s="380">
        <f t="shared" si="11"/>
        <v>247.48700000000008</v>
      </c>
    </row>
    <row r="108" spans="1:9" ht="14.25">
      <c r="A108" s="372" t="s">
        <v>130</v>
      </c>
      <c r="B108" s="373">
        <v>375.334</v>
      </c>
      <c r="C108" s="373">
        <v>246.46799999999999</v>
      </c>
      <c r="D108" s="373">
        <v>3400.92</v>
      </c>
      <c r="E108" s="373">
        <v>3647.3879999999999</v>
      </c>
      <c r="F108" s="373">
        <v>3900.4679999999998</v>
      </c>
      <c r="H108" s="380">
        <f t="shared" si="10"/>
        <v>4022.7219999999998</v>
      </c>
      <c r="I108" s="380">
        <f t="shared" si="11"/>
        <v>122.25399999999991</v>
      </c>
    </row>
    <row r="109" spans="1:9" ht="14.25">
      <c r="A109" s="372" t="s">
        <v>131</v>
      </c>
      <c r="B109" s="373">
        <v>179.405</v>
      </c>
      <c r="C109" s="373">
        <v>205.35</v>
      </c>
      <c r="D109" s="373">
        <v>1830.8999999999999</v>
      </c>
      <c r="E109" s="373">
        <v>2036.2499999999998</v>
      </c>
      <c r="F109" s="373">
        <v>2136.96</v>
      </c>
      <c r="H109" s="380">
        <f t="shared" si="10"/>
        <v>2215.6549999999997</v>
      </c>
      <c r="I109" s="380">
        <f t="shared" si="11"/>
        <v>78.694999999999709</v>
      </c>
    </row>
    <row r="110" spans="1:9" ht="14.25">
      <c r="A110" s="372" t="s">
        <v>132</v>
      </c>
      <c r="B110" s="373">
        <v>324.11400000000003</v>
      </c>
      <c r="C110" s="373">
        <v>269.60000000000002</v>
      </c>
      <c r="D110" s="373">
        <v>4163.04</v>
      </c>
      <c r="E110" s="373">
        <v>4432.6400000000003</v>
      </c>
      <c r="F110" s="373">
        <v>4569.3090000000002</v>
      </c>
      <c r="H110" s="380">
        <f t="shared" si="10"/>
        <v>4756.7540000000008</v>
      </c>
      <c r="I110" s="380">
        <f t="shared" si="11"/>
        <v>187.44500000000062</v>
      </c>
    </row>
    <row r="111" spans="1:9" ht="14.25">
      <c r="A111" s="372" t="s">
        <v>133</v>
      </c>
      <c r="B111" s="373">
        <v>133.74799999999999</v>
      </c>
      <c r="C111" s="373">
        <v>87.710999999999999</v>
      </c>
      <c r="D111" s="373">
        <v>1409.4599999999998</v>
      </c>
      <c r="E111" s="373">
        <v>1497.1709999999998</v>
      </c>
      <c r="F111" s="373">
        <v>1585.4299999999998</v>
      </c>
      <c r="H111" s="380">
        <f t="shared" si="10"/>
        <v>1630.9189999999999</v>
      </c>
      <c r="I111" s="380">
        <f t="shared" si="11"/>
        <v>45.489000000000033</v>
      </c>
    </row>
    <row r="112" spans="1:9" ht="14.25">
      <c r="A112" s="372" t="s">
        <v>134</v>
      </c>
      <c r="B112" s="373">
        <v>213.26800000000003</v>
      </c>
      <c r="C112" s="373">
        <v>112.66799999999999</v>
      </c>
      <c r="D112" s="373">
        <v>1814.0039999999997</v>
      </c>
      <c r="E112" s="373">
        <v>1926.6719999999996</v>
      </c>
      <c r="F112" s="373">
        <v>2092.09</v>
      </c>
      <c r="H112" s="380">
        <f t="shared" si="10"/>
        <v>2139.9399999999996</v>
      </c>
      <c r="I112" s="380">
        <f t="shared" si="11"/>
        <v>47.849999999999454</v>
      </c>
    </row>
    <row r="113" spans="1:19" ht="14.25">
      <c r="A113" s="372" t="s">
        <v>136</v>
      </c>
      <c r="B113" s="373">
        <v>222.376</v>
      </c>
      <c r="C113" s="373">
        <v>107.07199999999999</v>
      </c>
      <c r="D113" s="373">
        <v>1800.2879999999998</v>
      </c>
      <c r="E113" s="373">
        <v>1907.3599999999997</v>
      </c>
      <c r="F113" s="373">
        <v>2093.703</v>
      </c>
      <c r="H113" s="380">
        <f t="shared" si="10"/>
        <v>2129.7359999999999</v>
      </c>
      <c r="I113" s="380">
        <f t="shared" si="11"/>
        <v>36.032999999999902</v>
      </c>
    </row>
    <row r="114" spans="1:19" ht="14.25">
      <c r="A114" s="372" t="s">
        <v>137</v>
      </c>
      <c r="B114" s="373">
        <v>305.98399999999998</v>
      </c>
      <c r="C114" s="373">
        <v>244.07999999999998</v>
      </c>
      <c r="D114" s="373">
        <v>3095.8199999999997</v>
      </c>
      <c r="E114" s="373">
        <v>3339.8999999999996</v>
      </c>
      <c r="F114" s="373">
        <v>3570.4079999999999</v>
      </c>
      <c r="H114" s="380">
        <f t="shared" si="10"/>
        <v>3645.8839999999996</v>
      </c>
      <c r="I114" s="380">
        <f t="shared" si="11"/>
        <v>75.475999999999658</v>
      </c>
    </row>
    <row r="115" spans="1:19" ht="14.25">
      <c r="A115" s="372" t="s">
        <v>138</v>
      </c>
      <c r="B115" s="373">
        <v>293.2</v>
      </c>
      <c r="C115" s="373">
        <v>1516.1580000000001</v>
      </c>
      <c r="D115" s="373">
        <v>5327.2080000000005</v>
      </c>
      <c r="E115" s="373">
        <v>6843.3660000000009</v>
      </c>
      <c r="F115" s="373">
        <v>6831.1939999999995</v>
      </c>
      <c r="H115" s="380">
        <f t="shared" si="10"/>
        <v>7136.5660000000007</v>
      </c>
      <c r="I115" s="380">
        <f t="shared" si="11"/>
        <v>305.37200000000121</v>
      </c>
    </row>
    <row r="116" spans="1:19" ht="14.25">
      <c r="A116" s="372" t="s">
        <v>139</v>
      </c>
      <c r="B116" s="373">
        <v>626.03599999999994</v>
      </c>
      <c r="C116" s="373">
        <v>501.34500000000003</v>
      </c>
      <c r="D116" s="373">
        <v>7522.3200000000006</v>
      </c>
      <c r="E116" s="373">
        <v>8023.6650000000009</v>
      </c>
      <c r="F116" s="373">
        <v>8314.5630000000001</v>
      </c>
      <c r="H116" s="380">
        <f t="shared" si="10"/>
        <v>8649.7010000000009</v>
      </c>
      <c r="I116" s="380">
        <f t="shared" si="11"/>
        <v>335.13800000000083</v>
      </c>
    </row>
    <row r="117" spans="1:19" ht="14.25">
      <c r="A117" s="372" t="s">
        <v>140</v>
      </c>
      <c r="B117" s="373">
        <v>166.56</v>
      </c>
      <c r="C117" s="373">
        <v>95.39200000000001</v>
      </c>
      <c r="D117" s="373">
        <v>1743.4560000000001</v>
      </c>
      <c r="E117" s="373">
        <v>1838.8480000000002</v>
      </c>
      <c r="F117" s="373">
        <v>1943.9279999999999</v>
      </c>
      <c r="H117" s="380">
        <f t="shared" si="10"/>
        <v>2005.4080000000001</v>
      </c>
      <c r="I117" s="380">
        <f t="shared" si="11"/>
        <v>61.480000000000246</v>
      </c>
    </row>
    <row r="118" spans="1:19" ht="14.25">
      <c r="A118" s="374"/>
      <c r="B118" s="375"/>
      <c r="C118" s="375"/>
      <c r="D118" s="375"/>
      <c r="E118" s="375"/>
      <c r="F118" s="375"/>
      <c r="H118" s="380"/>
      <c r="I118" s="380"/>
    </row>
    <row r="119" spans="1:19" ht="14.25">
      <c r="A119" s="374" t="s">
        <v>228</v>
      </c>
      <c r="B119" s="375">
        <v>95431.26099999994</v>
      </c>
      <c r="C119" s="375">
        <v>72077.67200000002</v>
      </c>
      <c r="D119" s="375">
        <v>938076.99499999976</v>
      </c>
      <c r="E119" s="375">
        <v>1010154.6670000001</v>
      </c>
      <c r="F119" s="375">
        <v>1064945.1039999998</v>
      </c>
      <c r="H119" s="381">
        <f>SUM(B119,E119)</f>
        <v>1105585.9280000001</v>
      </c>
      <c r="I119" s="381">
        <f>H119-F119</f>
        <v>40640.824000000255</v>
      </c>
    </row>
    <row r="120" spans="1:19" ht="14.25">
      <c r="A120" s="318"/>
      <c r="B120" s="318"/>
      <c r="C120" s="318"/>
      <c r="D120" s="318"/>
      <c r="E120" s="318"/>
      <c r="I120" s="380"/>
    </row>
    <row r="121" spans="1:19" ht="30" customHeight="1">
      <c r="A121" s="447" t="s">
        <v>470</v>
      </c>
      <c r="B121" s="447"/>
      <c r="C121" s="447"/>
      <c r="D121" s="447"/>
      <c r="E121" s="447"/>
      <c r="F121" s="447"/>
      <c r="H121" s="381">
        <f>SUM(H5:H117)/2</f>
        <v>1105585.9279999998</v>
      </c>
      <c r="I121" s="381">
        <f>SUM(I5:I117)/2</f>
        <v>40640.823999999913</v>
      </c>
    </row>
    <row r="122" spans="1:19" ht="30" customHeight="1">
      <c r="A122" s="447" t="s">
        <v>471</v>
      </c>
      <c r="B122" s="447"/>
      <c r="C122" s="447"/>
      <c r="D122" s="447"/>
      <c r="E122" s="447"/>
      <c r="F122" s="447"/>
      <c r="G122" s="162"/>
      <c r="H122" s="162"/>
      <c r="I122" s="162"/>
      <c r="J122" s="162"/>
      <c r="K122" s="162"/>
      <c r="L122" s="162"/>
      <c r="M122" s="162"/>
      <c r="N122" s="162"/>
      <c r="O122" s="162"/>
      <c r="P122" s="162"/>
      <c r="Q122" s="162"/>
      <c r="R122" s="162"/>
      <c r="S122" s="162"/>
    </row>
    <row r="123" spans="1:19" ht="50.1" customHeight="1">
      <c r="A123" s="447" t="s">
        <v>472</v>
      </c>
      <c r="B123" s="447"/>
      <c r="C123" s="447"/>
      <c r="D123" s="447"/>
      <c r="E123" s="447"/>
      <c r="F123" s="447"/>
      <c r="G123" s="162"/>
      <c r="H123" s="162"/>
      <c r="I123" s="162"/>
      <c r="J123" s="162"/>
      <c r="K123" s="162"/>
      <c r="L123" s="162"/>
      <c r="M123" s="162"/>
      <c r="N123" s="162"/>
      <c r="O123" s="162"/>
      <c r="P123" s="162"/>
      <c r="Q123" s="162"/>
      <c r="R123" s="162"/>
      <c r="S123" s="162"/>
    </row>
    <row r="125" spans="1:19">
      <c r="A125" s="387"/>
    </row>
    <row r="131" spans="1:6" ht="14.25">
      <c r="A131" s="382"/>
      <c r="B131" s="383"/>
      <c r="C131" s="383"/>
      <c r="D131" s="383"/>
      <c r="E131" s="383"/>
      <c r="F131" s="383"/>
    </row>
    <row r="132" spans="1:6" ht="14.25">
      <c r="A132" s="318"/>
      <c r="B132" s="318"/>
      <c r="C132" s="318"/>
      <c r="D132" s="318"/>
      <c r="E132" s="318"/>
      <c r="F132" s="318"/>
    </row>
    <row r="133" spans="1:6" ht="14.25">
      <c r="A133" s="318"/>
      <c r="B133" s="318"/>
      <c r="C133" s="318"/>
      <c r="D133" s="318"/>
      <c r="E133" s="318"/>
      <c r="F133" s="318"/>
    </row>
    <row r="134" spans="1:6" ht="14.25">
      <c r="A134" s="318"/>
      <c r="B134" s="318"/>
      <c r="C134" s="318"/>
      <c r="D134" s="318"/>
      <c r="E134" s="318"/>
      <c r="F134" s="318"/>
    </row>
    <row r="135" spans="1:6" ht="14.25">
      <c r="A135" s="318"/>
      <c r="B135" s="318"/>
      <c r="C135" s="318"/>
      <c r="D135" s="318"/>
      <c r="E135" s="318"/>
      <c r="F135" s="318"/>
    </row>
    <row r="136" spans="1:6" ht="14.25">
      <c r="A136" s="318"/>
      <c r="B136" s="318"/>
      <c r="C136" s="318"/>
      <c r="D136" s="318"/>
      <c r="E136" s="318"/>
      <c r="F136" s="318"/>
    </row>
    <row r="137" spans="1:6" ht="14.25">
      <c r="A137" s="318"/>
      <c r="B137" s="318"/>
      <c r="C137" s="318"/>
      <c r="D137" s="318"/>
      <c r="E137" s="318"/>
      <c r="F137" s="318"/>
    </row>
    <row r="138" spans="1:6" ht="14.25">
      <c r="A138" s="318"/>
      <c r="B138" s="318"/>
      <c r="C138" s="318"/>
      <c r="D138" s="318"/>
      <c r="E138" s="318"/>
      <c r="F138" s="318"/>
    </row>
    <row r="139" spans="1:6" ht="14.25">
      <c r="A139" s="318"/>
      <c r="B139" s="318"/>
      <c r="C139" s="318"/>
      <c r="D139" s="318"/>
      <c r="E139" s="318"/>
      <c r="F139" s="318"/>
    </row>
    <row r="140" spans="1:6" ht="14.25">
      <c r="A140" s="318"/>
      <c r="B140" s="318"/>
      <c r="C140" s="318"/>
      <c r="D140" s="318"/>
      <c r="E140" s="318"/>
      <c r="F140" s="318"/>
    </row>
    <row r="141" spans="1:6" ht="14.25">
      <c r="A141" s="318"/>
      <c r="B141" s="318"/>
      <c r="C141" s="318"/>
      <c r="D141" s="318"/>
      <c r="E141" s="318"/>
      <c r="F141" s="318"/>
    </row>
    <row r="142" spans="1:6" ht="14.25">
      <c r="A142" s="318"/>
      <c r="B142" s="318"/>
      <c r="C142" s="318"/>
      <c r="D142" s="318"/>
      <c r="E142" s="318"/>
      <c r="F142" s="318"/>
    </row>
    <row r="143" spans="1:6" ht="14.25">
      <c r="A143" s="318"/>
      <c r="B143" s="318"/>
      <c r="C143" s="318"/>
      <c r="D143" s="318"/>
      <c r="E143" s="318"/>
      <c r="F143" s="318"/>
    </row>
    <row r="144" spans="1:6" ht="14.25">
      <c r="A144" s="318"/>
      <c r="B144" s="318"/>
      <c r="C144" s="318"/>
      <c r="D144" s="318"/>
      <c r="E144" s="318"/>
      <c r="F144" s="318"/>
    </row>
    <row r="145" spans="1:6" ht="14.25">
      <c r="A145" s="318"/>
      <c r="B145" s="318"/>
      <c r="C145" s="318"/>
      <c r="D145" s="318"/>
      <c r="E145" s="318"/>
      <c r="F145" s="318"/>
    </row>
    <row r="146" spans="1:6" ht="14.25">
      <c r="A146" s="318"/>
      <c r="B146" s="318"/>
      <c r="C146" s="318"/>
      <c r="D146" s="318"/>
      <c r="E146" s="318"/>
      <c r="F146" s="318"/>
    </row>
    <row r="147" spans="1:6" ht="14.25">
      <c r="A147" s="318"/>
      <c r="B147" s="318"/>
      <c r="C147" s="318"/>
      <c r="D147" s="318"/>
      <c r="E147" s="318"/>
      <c r="F147" s="318"/>
    </row>
    <row r="148" spans="1:6" ht="14.25">
      <c r="A148" s="318"/>
      <c r="B148" s="318"/>
      <c r="C148" s="318"/>
      <c r="D148" s="318"/>
      <c r="E148" s="318"/>
      <c r="F148" s="318"/>
    </row>
    <row r="149" spans="1:6" ht="14.25">
      <c r="A149" s="318"/>
      <c r="B149" s="318"/>
      <c r="C149" s="318"/>
      <c r="D149" s="318"/>
      <c r="E149" s="318"/>
      <c r="F149" s="318"/>
    </row>
    <row r="150" spans="1:6" ht="14.25">
      <c r="A150" s="318"/>
      <c r="B150" s="318"/>
      <c r="C150" s="318"/>
      <c r="D150" s="318"/>
      <c r="E150" s="318"/>
      <c r="F150" s="318"/>
    </row>
    <row r="151" spans="1:6" ht="14.25">
      <c r="A151" s="318"/>
      <c r="B151" s="318"/>
      <c r="C151" s="318"/>
      <c r="D151" s="318"/>
      <c r="E151" s="318"/>
      <c r="F151" s="318"/>
    </row>
    <row r="152" spans="1:6" ht="14.25">
      <c r="A152" s="318"/>
      <c r="B152" s="318"/>
      <c r="C152" s="318"/>
      <c r="D152" s="318"/>
      <c r="E152" s="318"/>
      <c r="F152" s="318"/>
    </row>
    <row r="153" spans="1:6" ht="14.25">
      <c r="A153" s="318"/>
      <c r="B153" s="318"/>
      <c r="C153" s="318"/>
      <c r="D153" s="318"/>
      <c r="E153" s="318"/>
      <c r="F153" s="318"/>
    </row>
    <row r="154" spans="1:6" ht="14.25">
      <c r="A154" s="318"/>
      <c r="B154" s="318"/>
      <c r="C154" s="318"/>
      <c r="D154" s="318"/>
      <c r="E154" s="318"/>
      <c r="F154" s="318"/>
    </row>
    <row r="155" spans="1:6" ht="14.25">
      <c r="A155" s="318"/>
      <c r="B155" s="318"/>
      <c r="C155" s="318"/>
      <c r="D155" s="318"/>
      <c r="E155" s="318"/>
      <c r="F155" s="318"/>
    </row>
    <row r="156" spans="1:6" ht="14.25">
      <c r="A156" s="318"/>
      <c r="B156" s="318"/>
      <c r="C156" s="318"/>
      <c r="D156" s="318"/>
      <c r="E156" s="318"/>
      <c r="F156" s="318"/>
    </row>
    <row r="157" spans="1:6" ht="14.25">
      <c r="A157" s="318"/>
      <c r="B157" s="318"/>
      <c r="C157" s="318"/>
      <c r="D157" s="318"/>
      <c r="E157" s="318"/>
      <c r="F157" s="318"/>
    </row>
    <row r="158" spans="1:6" ht="14.25">
      <c r="A158" s="318"/>
      <c r="B158" s="318"/>
      <c r="C158" s="318"/>
      <c r="D158" s="318"/>
      <c r="E158" s="318"/>
      <c r="F158" s="318"/>
    </row>
    <row r="159" spans="1:6" ht="14.25">
      <c r="A159" s="318"/>
      <c r="B159" s="318"/>
      <c r="C159" s="318"/>
      <c r="D159" s="318"/>
      <c r="E159" s="318"/>
      <c r="F159" s="318"/>
    </row>
    <row r="160" spans="1:6" ht="14.25">
      <c r="A160" s="318"/>
      <c r="B160" s="318"/>
      <c r="C160" s="318"/>
      <c r="D160" s="318"/>
      <c r="E160" s="318"/>
      <c r="F160" s="318"/>
    </row>
    <row r="161" spans="1:6" ht="14.25">
      <c r="A161" s="318"/>
      <c r="B161" s="318"/>
      <c r="C161" s="318"/>
      <c r="D161" s="318"/>
      <c r="E161" s="318"/>
      <c r="F161" s="318"/>
    </row>
    <row r="162" spans="1:6" ht="14.25">
      <c r="A162" s="318"/>
      <c r="B162" s="318"/>
      <c r="C162" s="318"/>
      <c r="D162" s="318"/>
      <c r="E162" s="318"/>
      <c r="F162" s="318"/>
    </row>
    <row r="163" spans="1:6" ht="14.25">
      <c r="A163" s="318"/>
      <c r="B163" s="318"/>
      <c r="C163" s="318"/>
      <c r="D163" s="318"/>
      <c r="E163" s="318"/>
      <c r="F163" s="318"/>
    </row>
    <row r="164" spans="1:6" ht="14.25">
      <c r="A164" s="318"/>
      <c r="B164" s="318"/>
      <c r="C164" s="318"/>
      <c r="D164" s="318"/>
      <c r="E164" s="318"/>
      <c r="F164" s="318"/>
    </row>
    <row r="165" spans="1:6" ht="14.25">
      <c r="A165" s="318"/>
      <c r="B165" s="318"/>
      <c r="C165" s="318"/>
      <c r="D165" s="318"/>
      <c r="E165" s="318"/>
      <c r="F165" s="318"/>
    </row>
    <row r="166" spans="1:6" ht="14.25">
      <c r="A166" s="318"/>
      <c r="B166" s="318"/>
      <c r="C166" s="318"/>
      <c r="D166" s="318"/>
      <c r="E166" s="318"/>
      <c r="F166" s="318"/>
    </row>
    <row r="167" spans="1:6" ht="14.25">
      <c r="A167" s="318"/>
      <c r="B167" s="318"/>
      <c r="C167" s="318"/>
      <c r="D167" s="318"/>
      <c r="E167" s="318"/>
      <c r="F167" s="318"/>
    </row>
    <row r="168" spans="1:6" ht="14.25">
      <c r="A168" s="318"/>
      <c r="B168" s="318"/>
      <c r="C168" s="318"/>
      <c r="D168" s="318"/>
      <c r="E168" s="318"/>
      <c r="F168" s="318"/>
    </row>
    <row r="169" spans="1:6" ht="14.25">
      <c r="A169" s="318"/>
      <c r="B169" s="318"/>
      <c r="C169" s="318"/>
      <c r="D169" s="318"/>
      <c r="E169" s="318"/>
      <c r="F169" s="318"/>
    </row>
    <row r="170" spans="1:6" ht="14.25">
      <c r="A170" s="318"/>
      <c r="B170" s="318"/>
      <c r="C170" s="318"/>
      <c r="D170" s="318"/>
      <c r="E170" s="318"/>
      <c r="F170" s="318"/>
    </row>
    <row r="171" spans="1:6" ht="14.25">
      <c r="A171" s="318"/>
      <c r="B171" s="318"/>
      <c r="C171" s="318"/>
      <c r="D171" s="318"/>
      <c r="E171" s="318"/>
      <c r="F171" s="318"/>
    </row>
    <row r="172" spans="1:6" ht="14.25">
      <c r="A172" s="318"/>
      <c r="B172" s="318"/>
      <c r="C172" s="318"/>
      <c r="D172" s="318"/>
      <c r="E172" s="318"/>
      <c r="F172" s="318"/>
    </row>
    <row r="173" spans="1:6" ht="14.25">
      <c r="A173" s="318"/>
      <c r="B173" s="318"/>
      <c r="C173" s="318"/>
      <c r="D173" s="318"/>
      <c r="E173" s="318"/>
      <c r="F173" s="318"/>
    </row>
    <row r="174" spans="1:6" ht="14.25">
      <c r="A174" s="318"/>
      <c r="B174" s="318"/>
      <c r="C174" s="318"/>
      <c r="D174" s="318"/>
      <c r="E174" s="318"/>
      <c r="F174" s="318"/>
    </row>
    <row r="175" spans="1:6" ht="14.25">
      <c r="A175" s="318"/>
      <c r="B175" s="318"/>
      <c r="C175" s="318"/>
      <c r="D175" s="318"/>
      <c r="E175" s="318"/>
      <c r="F175" s="318"/>
    </row>
    <row r="176" spans="1:6" ht="14.25">
      <c r="A176" s="318"/>
      <c r="B176" s="318"/>
      <c r="C176" s="318"/>
      <c r="D176" s="318"/>
      <c r="E176" s="318"/>
      <c r="F176" s="318"/>
    </row>
    <row r="177" spans="1:6" ht="14.25">
      <c r="A177" s="318"/>
      <c r="B177" s="318"/>
      <c r="C177" s="318"/>
      <c r="D177" s="318"/>
      <c r="E177" s="318"/>
      <c r="F177" s="318"/>
    </row>
    <row r="178" spans="1:6" ht="14.25">
      <c r="A178" s="318"/>
      <c r="B178" s="318"/>
      <c r="C178" s="318"/>
      <c r="D178" s="318"/>
      <c r="E178" s="318"/>
      <c r="F178" s="318"/>
    </row>
    <row r="179" spans="1:6" ht="14.25">
      <c r="A179" s="318"/>
      <c r="B179" s="318"/>
      <c r="C179" s="318"/>
      <c r="D179" s="318"/>
      <c r="E179" s="318"/>
      <c r="F179" s="318"/>
    </row>
    <row r="180" spans="1:6" ht="14.25">
      <c r="A180" s="318"/>
      <c r="B180" s="318"/>
      <c r="C180" s="318"/>
      <c r="D180" s="318"/>
      <c r="E180" s="318"/>
      <c r="F180" s="318"/>
    </row>
    <row r="181" spans="1:6" ht="14.25">
      <c r="A181" s="318"/>
      <c r="B181" s="318"/>
      <c r="C181" s="318"/>
      <c r="D181" s="318"/>
      <c r="E181" s="318"/>
      <c r="F181" s="318"/>
    </row>
    <row r="182" spans="1:6" ht="14.25">
      <c r="A182" s="318"/>
      <c r="B182" s="318"/>
      <c r="C182" s="318"/>
      <c r="D182" s="318"/>
      <c r="E182" s="318"/>
      <c r="F182" s="318"/>
    </row>
    <row r="183" spans="1:6" ht="14.25">
      <c r="A183" s="318"/>
      <c r="B183" s="318"/>
      <c r="C183" s="318"/>
      <c r="D183" s="318"/>
      <c r="E183" s="318"/>
      <c r="F183" s="318"/>
    </row>
    <row r="184" spans="1:6" ht="14.25">
      <c r="A184" s="318"/>
      <c r="B184" s="318"/>
      <c r="C184" s="318"/>
      <c r="D184" s="318"/>
      <c r="E184" s="318"/>
      <c r="F184" s="318"/>
    </row>
    <row r="185" spans="1:6" ht="14.25">
      <c r="A185" s="318"/>
      <c r="B185" s="318"/>
      <c r="C185" s="318"/>
      <c r="D185" s="318"/>
      <c r="E185" s="318"/>
      <c r="F185" s="318"/>
    </row>
    <row r="186" spans="1:6" ht="14.25">
      <c r="A186" s="318"/>
      <c r="B186" s="318"/>
      <c r="C186" s="318"/>
      <c r="D186" s="318"/>
      <c r="E186" s="318"/>
      <c r="F186" s="318"/>
    </row>
    <row r="187" spans="1:6" ht="14.25">
      <c r="A187" s="318"/>
      <c r="B187" s="318"/>
      <c r="C187" s="318"/>
      <c r="D187" s="318"/>
      <c r="E187" s="318"/>
      <c r="F187" s="318"/>
    </row>
    <row r="188" spans="1:6" ht="14.25">
      <c r="A188" s="318"/>
      <c r="B188" s="318"/>
      <c r="C188" s="318"/>
      <c r="D188" s="318"/>
      <c r="E188" s="318"/>
      <c r="F188" s="318"/>
    </row>
    <row r="189" spans="1:6" ht="14.25">
      <c r="A189" s="318"/>
      <c r="B189" s="318"/>
      <c r="C189" s="318"/>
      <c r="D189" s="318"/>
      <c r="E189" s="318"/>
      <c r="F189" s="318"/>
    </row>
    <row r="190" spans="1:6" ht="14.25">
      <c r="A190" s="318"/>
      <c r="B190" s="318"/>
      <c r="C190" s="318"/>
      <c r="D190" s="318"/>
      <c r="E190" s="318"/>
      <c r="F190" s="318"/>
    </row>
    <row r="191" spans="1:6" ht="14.25">
      <c r="A191" s="318"/>
      <c r="B191" s="318"/>
      <c r="C191" s="318"/>
      <c r="D191" s="318"/>
      <c r="E191" s="318"/>
      <c r="F191" s="318"/>
    </row>
    <row r="192" spans="1:6" ht="14.25">
      <c r="A192" s="318"/>
      <c r="B192" s="318"/>
      <c r="C192" s="318"/>
      <c r="D192" s="318"/>
      <c r="E192" s="318"/>
      <c r="F192" s="318"/>
    </row>
    <row r="193" spans="1:6" ht="14.25">
      <c r="A193" s="318"/>
      <c r="B193" s="318"/>
      <c r="C193" s="318"/>
      <c r="D193" s="318"/>
      <c r="E193" s="318"/>
      <c r="F193" s="318"/>
    </row>
    <row r="194" spans="1:6" ht="14.25">
      <c r="A194" s="318"/>
      <c r="B194" s="318"/>
      <c r="C194" s="318"/>
      <c r="D194" s="318"/>
      <c r="E194" s="318"/>
      <c r="F194" s="318"/>
    </row>
    <row r="195" spans="1:6" ht="14.25">
      <c r="A195" s="318"/>
      <c r="B195" s="318"/>
      <c r="C195" s="318"/>
      <c r="D195" s="318"/>
      <c r="E195" s="318"/>
      <c r="F195" s="318"/>
    </row>
    <row r="196" spans="1:6" ht="14.25">
      <c r="A196" s="318"/>
      <c r="B196" s="318"/>
      <c r="C196" s="318"/>
      <c r="D196" s="318"/>
      <c r="E196" s="318"/>
      <c r="F196" s="318"/>
    </row>
    <row r="197" spans="1:6" ht="14.25">
      <c r="A197" s="318"/>
      <c r="B197" s="318"/>
      <c r="C197" s="318"/>
      <c r="D197" s="318"/>
      <c r="E197" s="318"/>
      <c r="F197" s="318"/>
    </row>
    <row r="198" spans="1:6" ht="14.25">
      <c r="A198" s="318"/>
      <c r="B198" s="318"/>
      <c r="C198" s="318"/>
      <c r="D198" s="318"/>
      <c r="E198" s="318"/>
      <c r="F198" s="318"/>
    </row>
    <row r="199" spans="1:6" ht="14.25">
      <c r="A199" s="318"/>
      <c r="B199" s="318"/>
      <c r="C199" s="318"/>
      <c r="D199" s="318"/>
      <c r="E199" s="318"/>
      <c r="F199" s="318"/>
    </row>
    <row r="200" spans="1:6" ht="14.25">
      <c r="A200" s="318"/>
      <c r="B200" s="318"/>
      <c r="C200" s="318"/>
      <c r="D200" s="318"/>
      <c r="E200" s="318"/>
      <c r="F200" s="318"/>
    </row>
    <row r="201" spans="1:6" ht="14.25">
      <c r="A201" s="318"/>
      <c r="B201" s="318"/>
      <c r="C201" s="318"/>
      <c r="D201" s="318"/>
      <c r="E201" s="318"/>
      <c r="F201" s="318"/>
    </row>
    <row r="202" spans="1:6" ht="14.25">
      <c r="A202" s="318"/>
      <c r="B202" s="318"/>
      <c r="C202" s="318"/>
      <c r="D202" s="318"/>
      <c r="E202" s="318"/>
      <c r="F202" s="318"/>
    </row>
    <row r="203" spans="1:6" ht="14.25">
      <c r="A203" s="318"/>
      <c r="B203" s="318"/>
      <c r="C203" s="318"/>
      <c r="D203" s="318"/>
      <c r="E203" s="318"/>
      <c r="F203" s="318"/>
    </row>
    <row r="204" spans="1:6" ht="14.25">
      <c r="A204" s="318"/>
      <c r="B204" s="318"/>
      <c r="C204" s="318"/>
      <c r="D204" s="318"/>
      <c r="E204" s="318"/>
      <c r="F204" s="318"/>
    </row>
    <row r="205" spans="1:6" ht="14.25">
      <c r="A205" s="318"/>
      <c r="B205" s="318"/>
      <c r="C205" s="318"/>
      <c r="D205" s="318"/>
      <c r="E205" s="318"/>
      <c r="F205" s="318"/>
    </row>
    <row r="206" spans="1:6" ht="14.25">
      <c r="A206" s="318"/>
      <c r="B206" s="318"/>
      <c r="C206" s="318"/>
      <c r="D206" s="318"/>
      <c r="E206" s="318"/>
      <c r="F206" s="318"/>
    </row>
    <row r="207" spans="1:6" ht="14.25">
      <c r="A207" s="318"/>
      <c r="B207" s="318"/>
      <c r="C207" s="318"/>
      <c r="D207" s="318"/>
      <c r="E207" s="318"/>
      <c r="F207" s="318"/>
    </row>
    <row r="208" spans="1:6" ht="14.25">
      <c r="A208" s="318"/>
      <c r="B208" s="318"/>
      <c r="C208" s="318"/>
      <c r="D208" s="318"/>
      <c r="E208" s="318"/>
      <c r="F208" s="318"/>
    </row>
    <row r="209" spans="1:6" ht="14.25">
      <c r="A209" s="318"/>
      <c r="B209" s="318"/>
      <c r="C209" s="318"/>
      <c r="D209" s="318"/>
      <c r="E209" s="318"/>
      <c r="F209" s="318"/>
    </row>
    <row r="210" spans="1:6" ht="14.25">
      <c r="A210" s="318"/>
      <c r="B210" s="318"/>
      <c r="C210" s="318"/>
      <c r="D210" s="318"/>
      <c r="E210" s="318"/>
      <c r="F210" s="318"/>
    </row>
    <row r="211" spans="1:6" ht="14.25">
      <c r="A211" s="318"/>
      <c r="B211" s="318"/>
      <c r="C211" s="318"/>
      <c r="D211" s="318"/>
      <c r="E211" s="318"/>
      <c r="F211" s="318"/>
    </row>
    <row r="212" spans="1:6" ht="14.25">
      <c r="A212" s="318"/>
      <c r="B212" s="318"/>
      <c r="C212" s="318"/>
      <c r="D212" s="318"/>
      <c r="E212" s="318"/>
      <c r="F212" s="318"/>
    </row>
    <row r="213" spans="1:6" ht="14.25">
      <c r="A213" s="318"/>
      <c r="B213" s="318"/>
      <c r="C213" s="318"/>
      <c r="D213" s="318"/>
      <c r="E213" s="318"/>
      <c r="F213" s="318"/>
    </row>
    <row r="214" spans="1:6" ht="14.25">
      <c r="A214" s="318"/>
      <c r="B214" s="318"/>
      <c r="C214" s="318"/>
      <c r="D214" s="318"/>
      <c r="E214" s="318"/>
      <c r="F214" s="318"/>
    </row>
    <row r="215" spans="1:6" ht="14.25">
      <c r="A215" s="318"/>
      <c r="B215" s="318"/>
      <c r="C215" s="318"/>
      <c r="D215" s="318"/>
      <c r="E215" s="318"/>
      <c r="F215" s="318"/>
    </row>
    <row r="216" spans="1:6" ht="14.25">
      <c r="A216" s="318"/>
      <c r="B216" s="318"/>
      <c r="C216" s="318"/>
      <c r="D216" s="318"/>
      <c r="E216" s="318"/>
      <c r="F216" s="318"/>
    </row>
    <row r="217" spans="1:6" ht="14.25">
      <c r="A217" s="318"/>
      <c r="B217" s="318"/>
      <c r="C217" s="318"/>
      <c r="D217" s="318"/>
      <c r="E217" s="318"/>
      <c r="F217" s="318"/>
    </row>
    <row r="218" spans="1:6" ht="14.25">
      <c r="A218" s="318"/>
      <c r="B218" s="318"/>
      <c r="C218" s="318"/>
      <c r="D218" s="318"/>
      <c r="E218" s="318"/>
      <c r="F218" s="318"/>
    </row>
    <row r="219" spans="1:6" ht="14.25">
      <c r="A219" s="318"/>
      <c r="B219" s="318"/>
      <c r="C219" s="318"/>
      <c r="D219" s="318"/>
      <c r="E219" s="318"/>
      <c r="F219" s="318"/>
    </row>
    <row r="220" spans="1:6" ht="14.25">
      <c r="A220" s="318"/>
      <c r="B220" s="318"/>
      <c r="C220" s="318"/>
      <c r="D220" s="318"/>
      <c r="E220" s="318"/>
      <c r="F220" s="318"/>
    </row>
    <row r="221" spans="1:6" ht="14.25">
      <c r="A221" s="318"/>
      <c r="B221" s="318"/>
      <c r="C221" s="318"/>
      <c r="D221" s="318"/>
      <c r="E221" s="318"/>
      <c r="F221" s="318"/>
    </row>
    <row r="222" spans="1:6" ht="14.25">
      <c r="A222" s="318"/>
      <c r="B222" s="318"/>
      <c r="C222" s="318"/>
      <c r="D222" s="318"/>
      <c r="E222" s="318"/>
      <c r="F222" s="318"/>
    </row>
    <row r="223" spans="1:6" ht="14.25">
      <c r="A223" s="318"/>
      <c r="B223" s="318"/>
      <c r="C223" s="318"/>
      <c r="D223" s="318"/>
      <c r="E223" s="318"/>
      <c r="F223" s="318"/>
    </row>
    <row r="224" spans="1:6" ht="14.25">
      <c r="A224" s="318"/>
      <c r="B224" s="318"/>
      <c r="C224" s="318"/>
      <c r="D224" s="318"/>
      <c r="E224" s="318"/>
      <c r="F224" s="318"/>
    </row>
    <row r="225" spans="1:6" ht="14.25">
      <c r="A225" s="318"/>
      <c r="B225" s="318"/>
      <c r="C225" s="318"/>
      <c r="D225" s="318"/>
      <c r="E225" s="318"/>
      <c r="F225" s="318"/>
    </row>
    <row r="226" spans="1:6" ht="14.25">
      <c r="A226" s="318"/>
      <c r="B226" s="318"/>
      <c r="C226" s="318"/>
      <c r="D226" s="318"/>
      <c r="E226" s="318"/>
      <c r="F226" s="318"/>
    </row>
    <row r="227" spans="1:6" ht="14.25">
      <c r="A227" s="318"/>
      <c r="B227" s="318"/>
      <c r="C227" s="318"/>
      <c r="D227" s="318"/>
      <c r="E227" s="318"/>
      <c r="F227" s="318"/>
    </row>
    <row r="228" spans="1:6" ht="14.25">
      <c r="A228" s="318"/>
      <c r="B228" s="318"/>
      <c r="C228" s="318"/>
      <c r="D228" s="318"/>
      <c r="E228" s="318"/>
      <c r="F228" s="318"/>
    </row>
    <row r="229" spans="1:6" ht="14.25">
      <c r="A229" s="318"/>
      <c r="B229" s="318"/>
      <c r="C229" s="318"/>
      <c r="D229" s="318"/>
      <c r="E229" s="318"/>
      <c r="F229" s="318"/>
    </row>
    <row r="230" spans="1:6" ht="14.25">
      <c r="A230" s="318"/>
      <c r="B230" s="318"/>
      <c r="C230" s="318"/>
      <c r="D230" s="318"/>
      <c r="E230" s="318"/>
      <c r="F230" s="318"/>
    </row>
    <row r="231" spans="1:6" ht="14.25">
      <c r="A231" s="318"/>
      <c r="B231" s="318"/>
      <c r="C231" s="318"/>
      <c r="D231" s="318"/>
      <c r="E231" s="318"/>
      <c r="F231" s="318"/>
    </row>
    <row r="232" spans="1:6" ht="14.25">
      <c r="A232" s="318"/>
      <c r="B232" s="318"/>
      <c r="C232" s="318"/>
      <c r="D232" s="318"/>
      <c r="E232" s="318"/>
      <c r="F232" s="318"/>
    </row>
    <row r="233" spans="1:6" ht="14.25">
      <c r="A233" s="318"/>
      <c r="B233" s="318"/>
      <c r="C233" s="318"/>
      <c r="D233" s="318"/>
      <c r="E233" s="318"/>
      <c r="F233" s="318"/>
    </row>
    <row r="234" spans="1:6" ht="14.25">
      <c r="A234" s="318"/>
      <c r="B234" s="318"/>
      <c r="C234" s="318"/>
      <c r="D234" s="318"/>
      <c r="E234" s="318"/>
      <c r="F234" s="318"/>
    </row>
    <row r="235" spans="1:6" ht="14.25">
      <c r="A235" s="318"/>
      <c r="B235" s="318"/>
      <c r="C235" s="318"/>
      <c r="D235" s="318"/>
      <c r="E235" s="318"/>
      <c r="F235" s="318"/>
    </row>
    <row r="236" spans="1:6" ht="14.25">
      <c r="A236" s="318"/>
      <c r="B236" s="318"/>
      <c r="C236" s="318"/>
      <c r="D236" s="318"/>
      <c r="E236" s="318"/>
      <c r="F236" s="318"/>
    </row>
    <row r="237" spans="1:6" ht="14.25">
      <c r="A237" s="318"/>
      <c r="B237" s="318"/>
      <c r="C237" s="318"/>
      <c r="D237" s="318"/>
      <c r="E237" s="318"/>
      <c r="F237" s="318"/>
    </row>
    <row r="238" spans="1:6" ht="14.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622A5-BDC8-4C72-BC8B-16101B408D0E}">
  <sheetPr>
    <tabColor theme="7"/>
  </sheetPr>
  <dimension ref="A1:U111"/>
  <sheetViews>
    <sheetView showGridLines="0" zoomScale="80" zoomScaleNormal="80" workbookViewId="0">
      <pane xSplit="1" ySplit="5" topLeftCell="B98" activePane="bottomRight" state="frozen"/>
      <selection activeCell="C107" sqref="C107"/>
      <selection pane="topRight" activeCell="C107" sqref="C107"/>
      <selection pane="bottomLeft" activeCell="C107" sqref="C107"/>
      <selection pane="bottomRight" activeCell="B82" sqref="B82"/>
    </sheetView>
  </sheetViews>
  <sheetFormatPr defaultRowHeight="14.25"/>
  <cols>
    <col min="1" max="1" width="17.85546875" style="163" customWidth="1"/>
    <col min="2" max="2" width="43.5703125" style="162" customWidth="1"/>
    <col min="3" max="3" width="12.42578125" style="196" customWidth="1"/>
    <col min="4" max="19" width="15" style="162" customWidth="1"/>
    <col min="20" max="20" width="9.140625" style="162"/>
    <col min="21" max="21" width="11" style="162" bestFit="1" customWidth="1"/>
    <col min="22" max="16384" width="9.140625" style="162"/>
  </cols>
  <sheetData>
    <row r="1" spans="1:21" ht="24.95" customHeight="1">
      <c r="A1" s="389" t="s">
        <v>476</v>
      </c>
      <c r="B1" s="348" t="s">
        <v>415</v>
      </c>
      <c r="C1" s="324" t="s">
        <v>387</v>
      </c>
      <c r="D1" s="324" t="s">
        <v>387</v>
      </c>
      <c r="E1" s="324" t="s">
        <v>387</v>
      </c>
      <c r="F1" s="324" t="s">
        <v>387</v>
      </c>
      <c r="G1" s="390" t="s">
        <v>477</v>
      </c>
      <c r="H1" s="391"/>
      <c r="I1" s="324" t="s">
        <v>387</v>
      </c>
      <c r="J1" s="348" t="s">
        <v>415</v>
      </c>
      <c r="K1" s="324" t="s">
        <v>387</v>
      </c>
      <c r="L1" s="324" t="s">
        <v>387</v>
      </c>
      <c r="M1" s="324" t="s">
        <v>387</v>
      </c>
      <c r="N1" s="348" t="s">
        <v>415</v>
      </c>
      <c r="O1" s="348" t="s">
        <v>415</v>
      </c>
      <c r="P1" s="348" t="s">
        <v>415</v>
      </c>
      <c r="Q1" s="348" t="s">
        <v>415</v>
      </c>
      <c r="R1" s="348" t="s">
        <v>415</v>
      </c>
      <c r="S1" s="348" t="s">
        <v>415</v>
      </c>
    </row>
    <row r="2" spans="1:21" ht="18">
      <c r="A2" s="160" t="s">
        <v>478</v>
      </c>
      <c r="B2" s="161"/>
      <c r="C2" s="161"/>
      <c r="D2" s="161"/>
      <c r="E2" s="161"/>
      <c r="F2" s="161"/>
      <c r="G2" s="161"/>
      <c r="H2" s="161"/>
      <c r="I2" s="161"/>
      <c r="J2" s="161"/>
      <c r="K2" s="161"/>
      <c r="L2" s="161"/>
      <c r="M2" s="161"/>
      <c r="N2" s="161"/>
      <c r="O2" s="161"/>
      <c r="P2" s="160"/>
      <c r="Q2" s="160"/>
      <c r="R2" s="160"/>
      <c r="S2" s="161"/>
    </row>
    <row r="3" spans="1:21" s="316" customFormat="1" ht="24.95" customHeight="1" thickBot="1">
      <c r="A3" s="315"/>
      <c r="B3" s="315"/>
      <c r="C3" s="315"/>
      <c r="D3" s="315"/>
      <c r="E3" s="315"/>
      <c r="F3" s="385"/>
      <c r="G3" s="315"/>
      <c r="H3" s="385"/>
      <c r="I3" s="315"/>
      <c r="J3" s="315"/>
      <c r="K3" s="315"/>
      <c r="L3" s="315"/>
      <c r="M3" s="315"/>
      <c r="N3" s="315"/>
      <c r="O3" s="315"/>
      <c r="P3" s="315"/>
      <c r="Q3" s="315"/>
      <c r="R3" s="349"/>
      <c r="S3" s="315"/>
    </row>
    <row r="4" spans="1:21" ht="20.100000000000001" customHeight="1" thickTop="1">
      <c r="B4" s="161"/>
      <c r="C4" s="161"/>
      <c r="D4" s="164" t="s">
        <v>487</v>
      </c>
      <c r="E4" s="165"/>
      <c r="F4" s="166"/>
      <c r="G4" s="166"/>
      <c r="H4" s="166"/>
      <c r="I4" s="166"/>
      <c r="J4" s="167"/>
      <c r="K4" s="317" t="s">
        <v>488</v>
      </c>
      <c r="L4" s="166"/>
      <c r="M4" s="167"/>
      <c r="N4" s="168" t="s">
        <v>489</v>
      </c>
      <c r="O4" s="169"/>
      <c r="P4" s="169"/>
      <c r="Q4" s="169"/>
      <c r="R4" s="169"/>
      <c r="S4" s="170"/>
    </row>
    <row r="5" spans="1:21" ht="71.25" customHeight="1" thickBot="1">
      <c r="A5" s="171" t="s">
        <v>210</v>
      </c>
      <c r="B5" s="171" t="s">
        <v>224</v>
      </c>
      <c r="C5" s="171" t="s">
        <v>211</v>
      </c>
      <c r="D5" s="392" t="s">
        <v>382</v>
      </c>
      <c r="E5" s="393" t="s">
        <v>212</v>
      </c>
      <c r="F5" s="393" t="s">
        <v>213</v>
      </c>
      <c r="G5" s="393" t="s">
        <v>217</v>
      </c>
      <c r="H5" s="393" t="s">
        <v>214</v>
      </c>
      <c r="I5" s="394" t="s">
        <v>215</v>
      </c>
      <c r="J5" s="395" t="s">
        <v>216</v>
      </c>
      <c r="K5" s="396" t="s">
        <v>388</v>
      </c>
      <c r="L5" s="397" t="s">
        <v>389</v>
      </c>
      <c r="M5" s="176" t="s">
        <v>390</v>
      </c>
      <c r="N5" s="177" t="s">
        <v>212</v>
      </c>
      <c r="O5" s="178" t="s">
        <v>213</v>
      </c>
      <c r="P5" s="179" t="s">
        <v>217</v>
      </c>
      <c r="Q5" s="179" t="s">
        <v>218</v>
      </c>
      <c r="R5" s="179" t="s">
        <v>219</v>
      </c>
      <c r="S5" s="180" t="s">
        <v>220</v>
      </c>
    </row>
    <row r="6" spans="1:21" ht="24.95" customHeight="1" thickTop="1">
      <c r="A6" s="181" t="s">
        <v>45</v>
      </c>
      <c r="B6" s="182" t="s">
        <v>490</v>
      </c>
      <c r="C6" s="183" t="s">
        <v>221</v>
      </c>
      <c r="D6" s="184">
        <v>174055</v>
      </c>
      <c r="E6" s="184">
        <v>6010</v>
      </c>
      <c r="F6" s="184">
        <v>31342</v>
      </c>
      <c r="G6" s="184">
        <v>8804</v>
      </c>
      <c r="H6" s="184">
        <v>96862</v>
      </c>
      <c r="I6" s="184">
        <v>31037</v>
      </c>
      <c r="J6" s="184">
        <f t="shared" ref="J6:J69" si="0">SUM(F6:H6)</f>
        <v>137008</v>
      </c>
      <c r="K6" s="327">
        <v>0.06</v>
      </c>
      <c r="L6" s="327">
        <v>0.16800000000000001</v>
      </c>
      <c r="M6" s="328">
        <v>0.13800000000000001</v>
      </c>
      <c r="N6" s="185">
        <f>E6*K6</f>
        <v>360.59999999999997</v>
      </c>
      <c r="O6" s="186">
        <f>F6*K6</f>
        <v>1880.52</v>
      </c>
      <c r="P6" s="186">
        <f>G6*L6</f>
        <v>1479.0720000000001</v>
      </c>
      <c r="Q6" s="186">
        <f>H6*L6</f>
        <v>16272.816000000001</v>
      </c>
      <c r="R6" s="186">
        <f>SUM(P6:Q6)</f>
        <v>17751.887999999999</v>
      </c>
      <c r="S6" s="186">
        <f>J6*M6</f>
        <v>18907.104000000003</v>
      </c>
      <c r="U6" s="350"/>
    </row>
    <row r="7" spans="1:21" ht="24.95" customHeight="1">
      <c r="A7" s="187" t="s">
        <v>118</v>
      </c>
      <c r="B7" s="188" t="s">
        <v>428</v>
      </c>
      <c r="C7" s="189" t="s">
        <v>221</v>
      </c>
      <c r="D7" s="190">
        <v>38755</v>
      </c>
      <c r="E7" s="190">
        <v>1114</v>
      </c>
      <c r="F7" s="190">
        <v>6416</v>
      </c>
      <c r="G7" s="190">
        <v>1326</v>
      </c>
      <c r="H7" s="190">
        <v>21894</v>
      </c>
      <c r="I7" s="190">
        <v>8005</v>
      </c>
      <c r="J7" s="190">
        <f t="shared" si="0"/>
        <v>29636</v>
      </c>
      <c r="K7" s="329">
        <v>0.06</v>
      </c>
      <c r="L7" s="329">
        <v>0.152</v>
      </c>
      <c r="M7" s="330">
        <v>0.128</v>
      </c>
      <c r="N7" s="191">
        <f t="shared" ref="N7:N70" si="1">E7*K7</f>
        <v>66.84</v>
      </c>
      <c r="O7" s="192">
        <f t="shared" ref="O7:P70" si="2">F7*K7</f>
        <v>384.96</v>
      </c>
      <c r="P7" s="192">
        <f t="shared" si="2"/>
        <v>201.55199999999999</v>
      </c>
      <c r="Q7" s="192">
        <f t="shared" ref="Q7:Q70" si="3">H7*L7</f>
        <v>3327.8879999999999</v>
      </c>
      <c r="R7" s="192">
        <f t="shared" ref="R7:R70" si="4">SUM(P7:Q7)</f>
        <v>3529.44</v>
      </c>
      <c r="S7" s="192">
        <f t="shared" ref="S7:S70" si="5">J7*M7</f>
        <v>3793.4079999999999</v>
      </c>
      <c r="U7" s="350"/>
    </row>
    <row r="8" spans="1:21" ht="24.95" customHeight="1">
      <c r="A8" s="187" t="s">
        <v>119</v>
      </c>
      <c r="B8" s="188" t="s">
        <v>428</v>
      </c>
      <c r="C8" s="189" t="s">
        <v>222</v>
      </c>
      <c r="D8" s="190">
        <v>11510</v>
      </c>
      <c r="E8" s="190">
        <v>304</v>
      </c>
      <c r="F8" s="190">
        <v>1633</v>
      </c>
      <c r="G8" s="190">
        <v>385</v>
      </c>
      <c r="H8" s="190">
        <v>6189</v>
      </c>
      <c r="I8" s="190">
        <v>2999</v>
      </c>
      <c r="J8" s="190">
        <f t="shared" si="0"/>
        <v>8207</v>
      </c>
      <c r="K8" s="329">
        <v>8.5999999999999993E-2</v>
      </c>
      <c r="L8" s="329">
        <v>0.20699999999999999</v>
      </c>
      <c r="M8" s="330">
        <v>0.17800000000000002</v>
      </c>
      <c r="N8" s="191">
        <f t="shared" si="1"/>
        <v>26.143999999999998</v>
      </c>
      <c r="O8" s="192">
        <f t="shared" si="2"/>
        <v>140.43799999999999</v>
      </c>
      <c r="P8" s="192">
        <f t="shared" si="2"/>
        <v>79.694999999999993</v>
      </c>
      <c r="Q8" s="192">
        <f t="shared" si="3"/>
        <v>1281.123</v>
      </c>
      <c r="R8" s="192">
        <f t="shared" si="4"/>
        <v>1360.818</v>
      </c>
      <c r="S8" s="192">
        <f t="shared" si="5"/>
        <v>1460.8460000000002</v>
      </c>
      <c r="U8" s="350"/>
    </row>
    <row r="9" spans="1:21" ht="24.95" customHeight="1">
      <c r="A9" s="187" t="s">
        <v>109</v>
      </c>
      <c r="B9" s="188" t="s">
        <v>17</v>
      </c>
      <c r="C9" s="189" t="s">
        <v>221</v>
      </c>
      <c r="D9" s="190">
        <v>25289</v>
      </c>
      <c r="E9" s="190">
        <v>760</v>
      </c>
      <c r="F9" s="190">
        <v>4232</v>
      </c>
      <c r="G9" s="190">
        <v>971</v>
      </c>
      <c r="H9" s="190">
        <v>14712</v>
      </c>
      <c r="I9" s="190">
        <v>4614</v>
      </c>
      <c r="J9" s="190">
        <f t="shared" si="0"/>
        <v>19915</v>
      </c>
      <c r="K9" s="329">
        <v>4.7E-2</v>
      </c>
      <c r="L9" s="329">
        <v>0.16600000000000001</v>
      </c>
      <c r="M9" s="330">
        <v>0.13400000000000001</v>
      </c>
      <c r="N9" s="191">
        <f t="shared" si="1"/>
        <v>35.72</v>
      </c>
      <c r="O9" s="192">
        <f t="shared" si="2"/>
        <v>198.904</v>
      </c>
      <c r="P9" s="192">
        <f t="shared" si="2"/>
        <v>161.18600000000001</v>
      </c>
      <c r="Q9" s="192">
        <f t="shared" si="3"/>
        <v>2442.192</v>
      </c>
      <c r="R9" s="192">
        <f t="shared" si="4"/>
        <v>2603.3780000000002</v>
      </c>
      <c r="S9" s="192">
        <f t="shared" si="5"/>
        <v>2668.61</v>
      </c>
      <c r="U9" s="350"/>
    </row>
    <row r="10" spans="1:21" ht="24.95" customHeight="1">
      <c r="A10" s="187" t="s">
        <v>120</v>
      </c>
      <c r="B10" s="188" t="s">
        <v>428</v>
      </c>
      <c r="C10" s="189" t="s">
        <v>222</v>
      </c>
      <c r="D10" s="190">
        <v>28150</v>
      </c>
      <c r="E10" s="190">
        <v>672</v>
      </c>
      <c r="F10" s="190">
        <v>4227</v>
      </c>
      <c r="G10" s="190">
        <v>875</v>
      </c>
      <c r="H10" s="190">
        <v>15062</v>
      </c>
      <c r="I10" s="190">
        <v>7314</v>
      </c>
      <c r="J10" s="190">
        <f t="shared" si="0"/>
        <v>20164</v>
      </c>
      <c r="K10" s="329">
        <v>6.5000000000000002E-2</v>
      </c>
      <c r="L10" s="329">
        <v>0.182</v>
      </c>
      <c r="M10" s="330">
        <v>0.154</v>
      </c>
      <c r="N10" s="191">
        <f t="shared" si="1"/>
        <v>43.68</v>
      </c>
      <c r="O10" s="192">
        <f t="shared" si="2"/>
        <v>274.755</v>
      </c>
      <c r="P10" s="192">
        <f t="shared" si="2"/>
        <v>159.25</v>
      </c>
      <c r="Q10" s="192">
        <f t="shared" si="3"/>
        <v>2741.2840000000001</v>
      </c>
      <c r="R10" s="192">
        <f t="shared" si="4"/>
        <v>2900.5340000000001</v>
      </c>
      <c r="S10" s="192">
        <f t="shared" si="5"/>
        <v>3105.2559999999999</v>
      </c>
      <c r="U10" s="350"/>
    </row>
    <row r="11" spans="1:21" ht="24.95" customHeight="1">
      <c r="A11" s="187" t="s">
        <v>121</v>
      </c>
      <c r="B11" s="188" t="s">
        <v>428</v>
      </c>
      <c r="C11" s="189" t="s">
        <v>222</v>
      </c>
      <c r="D11" s="190">
        <v>18035</v>
      </c>
      <c r="E11" s="190">
        <v>433</v>
      </c>
      <c r="F11" s="190">
        <v>2254</v>
      </c>
      <c r="G11" s="190">
        <v>612</v>
      </c>
      <c r="H11" s="190">
        <v>10679</v>
      </c>
      <c r="I11" s="190">
        <v>4057</v>
      </c>
      <c r="J11" s="190">
        <f t="shared" si="0"/>
        <v>13545</v>
      </c>
      <c r="K11" s="329">
        <v>7.8E-2</v>
      </c>
      <c r="L11" s="329">
        <v>0.21100000000000002</v>
      </c>
      <c r="M11" s="330">
        <v>0.18100000000000002</v>
      </c>
      <c r="N11" s="191">
        <f t="shared" si="1"/>
        <v>33.774000000000001</v>
      </c>
      <c r="O11" s="192">
        <f t="shared" si="2"/>
        <v>175.81200000000001</v>
      </c>
      <c r="P11" s="192">
        <f t="shared" si="2"/>
        <v>129.13200000000001</v>
      </c>
      <c r="Q11" s="192">
        <f t="shared" si="3"/>
        <v>2253.2690000000002</v>
      </c>
      <c r="R11" s="192">
        <f t="shared" si="4"/>
        <v>2382.4010000000003</v>
      </c>
      <c r="S11" s="192">
        <f t="shared" si="5"/>
        <v>2451.6450000000004</v>
      </c>
      <c r="U11" s="350"/>
    </row>
    <row r="12" spans="1:21" ht="24.95" customHeight="1">
      <c r="A12" s="187" t="s">
        <v>69</v>
      </c>
      <c r="B12" s="188" t="s">
        <v>381</v>
      </c>
      <c r="C12" s="189" t="s">
        <v>222</v>
      </c>
      <c r="D12" s="190">
        <v>47490</v>
      </c>
      <c r="E12" s="190">
        <v>1348</v>
      </c>
      <c r="F12" s="190">
        <v>7843</v>
      </c>
      <c r="G12" s="190">
        <v>1761</v>
      </c>
      <c r="H12" s="190">
        <v>24454</v>
      </c>
      <c r="I12" s="190">
        <v>12084</v>
      </c>
      <c r="J12" s="190">
        <f t="shared" si="0"/>
        <v>34058</v>
      </c>
      <c r="K12" s="329">
        <v>5.7999999999999996E-2</v>
      </c>
      <c r="L12" s="329">
        <v>0.157</v>
      </c>
      <c r="M12" s="330">
        <v>0.13100000000000001</v>
      </c>
      <c r="N12" s="191">
        <f t="shared" si="1"/>
        <v>78.183999999999997</v>
      </c>
      <c r="O12" s="192">
        <f t="shared" si="2"/>
        <v>454.89399999999995</v>
      </c>
      <c r="P12" s="192">
        <f t="shared" si="2"/>
        <v>276.47699999999998</v>
      </c>
      <c r="Q12" s="192">
        <f t="shared" si="3"/>
        <v>3839.2779999999998</v>
      </c>
      <c r="R12" s="192">
        <f t="shared" si="4"/>
        <v>4115.7550000000001</v>
      </c>
      <c r="S12" s="192">
        <f t="shared" si="5"/>
        <v>4461.598</v>
      </c>
      <c r="U12" s="350"/>
    </row>
    <row r="13" spans="1:21" ht="24.95" customHeight="1">
      <c r="A13" s="187" t="s">
        <v>70</v>
      </c>
      <c r="B13" s="188" t="s">
        <v>381</v>
      </c>
      <c r="C13" s="189" t="s">
        <v>222</v>
      </c>
      <c r="D13" s="190">
        <v>19601</v>
      </c>
      <c r="E13" s="190">
        <v>563</v>
      </c>
      <c r="F13" s="190">
        <v>3094</v>
      </c>
      <c r="G13" s="190">
        <v>721</v>
      </c>
      <c r="H13" s="190">
        <v>11123</v>
      </c>
      <c r="I13" s="190">
        <v>4100</v>
      </c>
      <c r="J13" s="190">
        <f t="shared" si="0"/>
        <v>14938</v>
      </c>
      <c r="K13" s="329">
        <v>4.7E-2</v>
      </c>
      <c r="L13" s="329">
        <v>0.152</v>
      </c>
      <c r="M13" s="330">
        <v>0.126</v>
      </c>
      <c r="N13" s="191">
        <f t="shared" si="1"/>
        <v>26.460999999999999</v>
      </c>
      <c r="O13" s="192">
        <f t="shared" si="2"/>
        <v>145.41800000000001</v>
      </c>
      <c r="P13" s="192">
        <f t="shared" si="2"/>
        <v>109.592</v>
      </c>
      <c r="Q13" s="192">
        <f t="shared" si="3"/>
        <v>1690.6959999999999</v>
      </c>
      <c r="R13" s="192">
        <f t="shared" si="4"/>
        <v>1800.288</v>
      </c>
      <c r="S13" s="192">
        <f t="shared" si="5"/>
        <v>1882.1880000000001</v>
      </c>
      <c r="U13" s="350"/>
    </row>
    <row r="14" spans="1:21" ht="24.95" customHeight="1">
      <c r="A14" s="187" t="s">
        <v>88</v>
      </c>
      <c r="B14" s="188" t="s">
        <v>15</v>
      </c>
      <c r="C14" s="189" t="s">
        <v>222</v>
      </c>
      <c r="D14" s="190">
        <v>34444</v>
      </c>
      <c r="E14" s="190">
        <v>1119</v>
      </c>
      <c r="F14" s="190">
        <v>5910</v>
      </c>
      <c r="G14" s="190">
        <v>1247</v>
      </c>
      <c r="H14" s="190">
        <v>18898</v>
      </c>
      <c r="I14" s="190">
        <v>7270</v>
      </c>
      <c r="J14" s="190">
        <f t="shared" si="0"/>
        <v>26055</v>
      </c>
      <c r="K14" s="329">
        <v>6.9000000000000006E-2</v>
      </c>
      <c r="L14" s="329">
        <v>0.217</v>
      </c>
      <c r="M14" s="330">
        <v>0.17800000000000002</v>
      </c>
      <c r="N14" s="191">
        <f t="shared" si="1"/>
        <v>77.211000000000013</v>
      </c>
      <c r="O14" s="192">
        <f t="shared" si="2"/>
        <v>407.79</v>
      </c>
      <c r="P14" s="192">
        <f t="shared" si="2"/>
        <v>270.59899999999999</v>
      </c>
      <c r="Q14" s="192">
        <f t="shared" si="3"/>
        <v>4100.866</v>
      </c>
      <c r="R14" s="192">
        <f t="shared" si="4"/>
        <v>4371.4650000000001</v>
      </c>
      <c r="S14" s="192">
        <f t="shared" si="5"/>
        <v>4637.7900000000009</v>
      </c>
      <c r="U14" s="350"/>
    </row>
    <row r="15" spans="1:21" ht="24.95" customHeight="1">
      <c r="A15" s="187" t="s">
        <v>64</v>
      </c>
      <c r="B15" s="188" t="s">
        <v>381</v>
      </c>
      <c r="C15" s="189" t="s">
        <v>221</v>
      </c>
      <c r="D15" s="190">
        <v>146135</v>
      </c>
      <c r="E15" s="190">
        <v>3192</v>
      </c>
      <c r="F15" s="190">
        <v>19823</v>
      </c>
      <c r="G15" s="190">
        <v>3856</v>
      </c>
      <c r="H15" s="190">
        <v>74070</v>
      </c>
      <c r="I15" s="190">
        <v>45194</v>
      </c>
      <c r="J15" s="190">
        <f t="shared" si="0"/>
        <v>97749</v>
      </c>
      <c r="K15" s="329">
        <v>6.6000000000000003E-2</v>
      </c>
      <c r="L15" s="329">
        <v>0.157</v>
      </c>
      <c r="M15" s="330">
        <v>0.13699999999999998</v>
      </c>
      <c r="N15" s="191">
        <f t="shared" si="1"/>
        <v>210.672</v>
      </c>
      <c r="O15" s="192">
        <f t="shared" si="2"/>
        <v>1308.318</v>
      </c>
      <c r="P15" s="192">
        <f t="shared" si="2"/>
        <v>605.39200000000005</v>
      </c>
      <c r="Q15" s="192">
        <f t="shared" si="3"/>
        <v>11628.99</v>
      </c>
      <c r="R15" s="192">
        <f t="shared" si="4"/>
        <v>12234.382</v>
      </c>
      <c r="S15" s="192">
        <f t="shared" si="5"/>
        <v>13391.612999999998</v>
      </c>
      <c r="U15" s="350"/>
    </row>
    <row r="16" spans="1:21" ht="24.95" customHeight="1">
      <c r="A16" s="187" t="s">
        <v>122</v>
      </c>
      <c r="B16" s="188" t="s">
        <v>428</v>
      </c>
      <c r="C16" s="189" t="s">
        <v>221</v>
      </c>
      <c r="D16" s="190">
        <v>267046</v>
      </c>
      <c r="E16" s="190">
        <v>7549</v>
      </c>
      <c r="F16" s="190">
        <v>41932</v>
      </c>
      <c r="G16" s="190">
        <v>9145</v>
      </c>
      <c r="H16" s="190">
        <v>153044</v>
      </c>
      <c r="I16" s="190">
        <v>55376</v>
      </c>
      <c r="J16" s="190">
        <f t="shared" si="0"/>
        <v>204121</v>
      </c>
      <c r="K16" s="329">
        <v>5.2000000000000005E-2</v>
      </c>
      <c r="L16" s="329">
        <v>0.14800000000000002</v>
      </c>
      <c r="M16" s="330">
        <v>0.125</v>
      </c>
      <c r="N16" s="191">
        <f t="shared" si="1"/>
        <v>392.54800000000006</v>
      </c>
      <c r="O16" s="192">
        <f t="shared" si="2"/>
        <v>2180.4640000000004</v>
      </c>
      <c r="P16" s="192">
        <f t="shared" si="2"/>
        <v>1353.4600000000003</v>
      </c>
      <c r="Q16" s="192">
        <f t="shared" si="3"/>
        <v>22650.512000000002</v>
      </c>
      <c r="R16" s="192">
        <f t="shared" si="4"/>
        <v>24003.972000000002</v>
      </c>
      <c r="S16" s="192">
        <f t="shared" si="5"/>
        <v>25515.125</v>
      </c>
      <c r="U16" s="350"/>
    </row>
    <row r="17" spans="1:21" ht="24.95" customHeight="1">
      <c r="A17" s="187" t="s">
        <v>101</v>
      </c>
      <c r="B17" s="188" t="s">
        <v>491</v>
      </c>
      <c r="C17" s="189" t="s">
        <v>221</v>
      </c>
      <c r="D17" s="190">
        <v>91934</v>
      </c>
      <c r="E17" s="190">
        <v>2736</v>
      </c>
      <c r="F17" s="190">
        <v>15133</v>
      </c>
      <c r="G17" s="190">
        <v>4401</v>
      </c>
      <c r="H17" s="190">
        <v>50519</v>
      </c>
      <c r="I17" s="190">
        <v>19145</v>
      </c>
      <c r="J17" s="190">
        <f t="shared" si="0"/>
        <v>70053</v>
      </c>
      <c r="K17" s="329">
        <v>5.0999999999999997E-2</v>
      </c>
      <c r="L17" s="329">
        <v>0.16300000000000001</v>
      </c>
      <c r="M17" s="330">
        <v>0.13600000000000001</v>
      </c>
      <c r="N17" s="191">
        <f t="shared" si="1"/>
        <v>139.536</v>
      </c>
      <c r="O17" s="192">
        <f t="shared" si="2"/>
        <v>771.7829999999999</v>
      </c>
      <c r="P17" s="192">
        <f t="shared" si="2"/>
        <v>717.36300000000006</v>
      </c>
      <c r="Q17" s="192">
        <f t="shared" si="3"/>
        <v>8234.5969999999998</v>
      </c>
      <c r="R17" s="192">
        <f t="shared" si="4"/>
        <v>8951.9599999999991</v>
      </c>
      <c r="S17" s="192">
        <f t="shared" si="5"/>
        <v>9527.2080000000005</v>
      </c>
      <c r="U17" s="350"/>
    </row>
    <row r="18" spans="1:21" ht="24.95" customHeight="1">
      <c r="A18" s="187" t="s">
        <v>46</v>
      </c>
      <c r="B18" s="188" t="s">
        <v>490</v>
      </c>
      <c r="C18" s="189" t="s">
        <v>221</v>
      </c>
      <c r="D18" s="190">
        <v>216608</v>
      </c>
      <c r="E18" s="190">
        <v>8074</v>
      </c>
      <c r="F18" s="190">
        <v>43500</v>
      </c>
      <c r="G18" s="190">
        <v>9297</v>
      </c>
      <c r="H18" s="190">
        <v>125688</v>
      </c>
      <c r="I18" s="190">
        <v>30049</v>
      </c>
      <c r="J18" s="190">
        <f t="shared" si="0"/>
        <v>178485</v>
      </c>
      <c r="K18" s="329">
        <v>4.2999999999999997E-2</v>
      </c>
      <c r="L18" s="329">
        <v>0.13400000000000001</v>
      </c>
      <c r="M18" s="330">
        <v>0.106</v>
      </c>
      <c r="N18" s="191">
        <f t="shared" si="1"/>
        <v>347.18199999999996</v>
      </c>
      <c r="O18" s="192">
        <f t="shared" si="2"/>
        <v>1870.4999999999998</v>
      </c>
      <c r="P18" s="192">
        <f t="shared" si="2"/>
        <v>1245.798</v>
      </c>
      <c r="Q18" s="192">
        <f t="shared" si="3"/>
        <v>16842.192000000003</v>
      </c>
      <c r="R18" s="192">
        <f t="shared" si="4"/>
        <v>18087.990000000002</v>
      </c>
      <c r="S18" s="192">
        <f t="shared" si="5"/>
        <v>18919.41</v>
      </c>
      <c r="U18" s="350"/>
    </row>
    <row r="19" spans="1:21" ht="24.95" customHeight="1">
      <c r="A19" s="187" t="s">
        <v>123</v>
      </c>
      <c r="B19" s="188" t="s">
        <v>428</v>
      </c>
      <c r="C19" s="189" t="s">
        <v>221</v>
      </c>
      <c r="D19" s="190">
        <v>83703</v>
      </c>
      <c r="E19" s="190">
        <v>2450</v>
      </c>
      <c r="F19" s="190">
        <v>13658</v>
      </c>
      <c r="G19" s="190">
        <v>3312</v>
      </c>
      <c r="H19" s="190">
        <v>47373</v>
      </c>
      <c r="I19" s="190">
        <v>16910</v>
      </c>
      <c r="J19" s="190">
        <f t="shared" si="0"/>
        <v>64343</v>
      </c>
      <c r="K19" s="329">
        <v>4.5999999999999999E-2</v>
      </c>
      <c r="L19" s="329">
        <v>0.17800000000000002</v>
      </c>
      <c r="M19" s="330">
        <v>0.14400000000000002</v>
      </c>
      <c r="N19" s="191">
        <f t="shared" si="1"/>
        <v>112.7</v>
      </c>
      <c r="O19" s="192">
        <f t="shared" si="2"/>
        <v>628.26800000000003</v>
      </c>
      <c r="P19" s="192">
        <f t="shared" si="2"/>
        <v>589.53600000000006</v>
      </c>
      <c r="Q19" s="192">
        <f t="shared" si="3"/>
        <v>8432.3940000000002</v>
      </c>
      <c r="R19" s="192">
        <f t="shared" si="4"/>
        <v>9021.93</v>
      </c>
      <c r="S19" s="192">
        <f t="shared" si="5"/>
        <v>9265.3920000000016</v>
      </c>
      <c r="U19" s="350"/>
    </row>
    <row r="20" spans="1:21" ht="24.95" customHeight="1">
      <c r="A20" s="187" t="s">
        <v>71</v>
      </c>
      <c r="B20" s="188" t="s">
        <v>381</v>
      </c>
      <c r="C20" s="189" t="s">
        <v>221</v>
      </c>
      <c r="D20" s="190">
        <v>10717</v>
      </c>
      <c r="E20" s="190">
        <v>278</v>
      </c>
      <c r="F20" s="190">
        <v>1786</v>
      </c>
      <c r="G20" s="190">
        <v>410</v>
      </c>
      <c r="H20" s="190">
        <v>6408</v>
      </c>
      <c r="I20" s="190">
        <v>1835</v>
      </c>
      <c r="J20" s="190">
        <f t="shared" si="0"/>
        <v>8604</v>
      </c>
      <c r="K20" s="329">
        <v>6.0999999999999999E-2</v>
      </c>
      <c r="L20" s="329">
        <v>0.14099999999999999</v>
      </c>
      <c r="M20" s="330">
        <v>0.11900000000000001</v>
      </c>
      <c r="N20" s="191">
        <f t="shared" si="1"/>
        <v>16.957999999999998</v>
      </c>
      <c r="O20" s="192">
        <f t="shared" si="2"/>
        <v>108.946</v>
      </c>
      <c r="P20" s="192">
        <f t="shared" si="2"/>
        <v>57.809999999999995</v>
      </c>
      <c r="Q20" s="192">
        <f t="shared" si="3"/>
        <v>903.52799999999991</v>
      </c>
      <c r="R20" s="192">
        <f t="shared" si="4"/>
        <v>961.33799999999985</v>
      </c>
      <c r="S20" s="192">
        <f t="shared" si="5"/>
        <v>1023.8760000000001</v>
      </c>
      <c r="U20" s="350"/>
    </row>
    <row r="21" spans="1:21" ht="24.95" customHeight="1">
      <c r="A21" s="187" t="s">
        <v>65</v>
      </c>
      <c r="B21" s="188" t="s">
        <v>381</v>
      </c>
      <c r="C21" s="189" t="s">
        <v>222</v>
      </c>
      <c r="D21" s="190">
        <v>71640</v>
      </c>
      <c r="E21" s="190">
        <v>1672</v>
      </c>
      <c r="F21" s="190">
        <v>10264</v>
      </c>
      <c r="G21" s="190">
        <v>2230</v>
      </c>
      <c r="H21" s="190">
        <v>39083</v>
      </c>
      <c r="I21" s="190">
        <v>18391</v>
      </c>
      <c r="J21" s="190">
        <f t="shared" si="0"/>
        <v>51577</v>
      </c>
      <c r="K21" s="329">
        <v>6.0999999999999999E-2</v>
      </c>
      <c r="L21" s="329">
        <v>0.156</v>
      </c>
      <c r="M21" s="330">
        <v>0.13300000000000001</v>
      </c>
      <c r="N21" s="191">
        <f t="shared" si="1"/>
        <v>101.992</v>
      </c>
      <c r="O21" s="192">
        <f t="shared" si="2"/>
        <v>626.10400000000004</v>
      </c>
      <c r="P21" s="192">
        <f t="shared" si="2"/>
        <v>347.88</v>
      </c>
      <c r="Q21" s="192">
        <f t="shared" si="3"/>
        <v>6096.9480000000003</v>
      </c>
      <c r="R21" s="192">
        <f t="shared" si="4"/>
        <v>6444.8280000000004</v>
      </c>
      <c r="S21" s="192">
        <f t="shared" si="5"/>
        <v>6859.741</v>
      </c>
      <c r="U21" s="350"/>
    </row>
    <row r="22" spans="1:21" ht="24.95" customHeight="1">
      <c r="A22" s="187" t="s">
        <v>47</v>
      </c>
      <c r="B22" s="188" t="s">
        <v>490</v>
      </c>
      <c r="C22" s="189" t="s">
        <v>222</v>
      </c>
      <c r="D22" s="190">
        <v>23666</v>
      </c>
      <c r="E22" s="190">
        <v>631</v>
      </c>
      <c r="F22" s="190">
        <v>3507</v>
      </c>
      <c r="G22" s="190">
        <v>786</v>
      </c>
      <c r="H22" s="190">
        <v>13559</v>
      </c>
      <c r="I22" s="190">
        <v>5183</v>
      </c>
      <c r="J22" s="190">
        <f t="shared" si="0"/>
        <v>17852</v>
      </c>
      <c r="K22" s="329">
        <v>6.3E-2</v>
      </c>
      <c r="L22" s="329">
        <v>0.156</v>
      </c>
      <c r="M22" s="330">
        <v>0.13200000000000001</v>
      </c>
      <c r="N22" s="191">
        <f t="shared" si="1"/>
        <v>39.753</v>
      </c>
      <c r="O22" s="192">
        <f t="shared" si="2"/>
        <v>220.941</v>
      </c>
      <c r="P22" s="192">
        <f t="shared" si="2"/>
        <v>122.616</v>
      </c>
      <c r="Q22" s="192">
        <f t="shared" si="3"/>
        <v>2115.2040000000002</v>
      </c>
      <c r="R22" s="192">
        <f t="shared" si="4"/>
        <v>2237.8200000000002</v>
      </c>
      <c r="S22" s="192">
        <f t="shared" si="5"/>
        <v>2356.4639999999999</v>
      </c>
      <c r="U22" s="350"/>
    </row>
    <row r="23" spans="1:21" ht="24.95" customHeight="1">
      <c r="A23" s="187" t="s">
        <v>102</v>
      </c>
      <c r="B23" s="188" t="s">
        <v>491</v>
      </c>
      <c r="C23" s="189" t="s">
        <v>221</v>
      </c>
      <c r="D23" s="190">
        <v>160504</v>
      </c>
      <c r="E23" s="190">
        <v>5345</v>
      </c>
      <c r="F23" s="190">
        <v>28974</v>
      </c>
      <c r="G23" s="190">
        <v>6596</v>
      </c>
      <c r="H23" s="190">
        <v>90084</v>
      </c>
      <c r="I23" s="190">
        <v>29505</v>
      </c>
      <c r="J23" s="190">
        <f t="shared" si="0"/>
        <v>125654</v>
      </c>
      <c r="K23" s="329">
        <v>6.7000000000000004E-2</v>
      </c>
      <c r="L23" s="329">
        <v>0.161</v>
      </c>
      <c r="M23" s="330">
        <v>0.13500000000000001</v>
      </c>
      <c r="N23" s="191">
        <f t="shared" si="1"/>
        <v>358.11500000000001</v>
      </c>
      <c r="O23" s="192">
        <f t="shared" si="2"/>
        <v>1941.258</v>
      </c>
      <c r="P23" s="192">
        <f t="shared" si="2"/>
        <v>1061.9560000000001</v>
      </c>
      <c r="Q23" s="192">
        <f t="shared" si="3"/>
        <v>14503.524000000001</v>
      </c>
      <c r="R23" s="192">
        <f t="shared" si="4"/>
        <v>15565.480000000001</v>
      </c>
      <c r="S23" s="192">
        <f t="shared" si="5"/>
        <v>16963.29</v>
      </c>
      <c r="U23" s="350"/>
    </row>
    <row r="24" spans="1:21" ht="24.95" customHeight="1">
      <c r="A24" s="187" t="s">
        <v>48</v>
      </c>
      <c r="B24" s="188" t="s">
        <v>490</v>
      </c>
      <c r="C24" s="189" t="s">
        <v>221</v>
      </c>
      <c r="D24" s="190">
        <v>77713</v>
      </c>
      <c r="E24" s="190">
        <v>2067</v>
      </c>
      <c r="F24" s="190">
        <v>11912</v>
      </c>
      <c r="G24" s="190">
        <v>2427</v>
      </c>
      <c r="H24" s="190">
        <v>40466</v>
      </c>
      <c r="I24" s="190">
        <v>20841</v>
      </c>
      <c r="J24" s="190">
        <f t="shared" si="0"/>
        <v>54805</v>
      </c>
      <c r="K24" s="329">
        <v>6.8000000000000005E-2</v>
      </c>
      <c r="L24" s="329">
        <v>0.159</v>
      </c>
      <c r="M24" s="330">
        <v>0.13400000000000001</v>
      </c>
      <c r="N24" s="191">
        <f t="shared" si="1"/>
        <v>140.55600000000001</v>
      </c>
      <c r="O24" s="192">
        <f t="shared" si="2"/>
        <v>810.01600000000008</v>
      </c>
      <c r="P24" s="192">
        <f t="shared" si="2"/>
        <v>385.89300000000003</v>
      </c>
      <c r="Q24" s="192">
        <f t="shared" si="3"/>
        <v>6434.0940000000001</v>
      </c>
      <c r="R24" s="192">
        <f t="shared" si="4"/>
        <v>6819.9870000000001</v>
      </c>
      <c r="S24" s="192">
        <f t="shared" si="5"/>
        <v>7343.8700000000008</v>
      </c>
      <c r="U24" s="350"/>
    </row>
    <row r="25" spans="1:21" ht="24.95" customHeight="1">
      <c r="A25" s="187" t="s">
        <v>124</v>
      </c>
      <c r="B25" s="188" t="s">
        <v>428</v>
      </c>
      <c r="C25" s="189" t="s">
        <v>222</v>
      </c>
      <c r="D25" s="190">
        <v>29972</v>
      </c>
      <c r="E25" s="190">
        <v>647</v>
      </c>
      <c r="F25" s="190">
        <v>4247</v>
      </c>
      <c r="G25" s="190">
        <v>869</v>
      </c>
      <c r="H25" s="190">
        <v>15067</v>
      </c>
      <c r="I25" s="190">
        <v>9142</v>
      </c>
      <c r="J25" s="190">
        <f t="shared" si="0"/>
        <v>20183</v>
      </c>
      <c r="K25" s="329">
        <v>6.6000000000000003E-2</v>
      </c>
      <c r="L25" s="329">
        <v>0.17899999999999999</v>
      </c>
      <c r="M25" s="330">
        <v>0.152</v>
      </c>
      <c r="N25" s="191">
        <f t="shared" si="1"/>
        <v>42.702000000000005</v>
      </c>
      <c r="O25" s="192">
        <f t="shared" si="2"/>
        <v>280.30200000000002</v>
      </c>
      <c r="P25" s="192">
        <f t="shared" si="2"/>
        <v>155.55099999999999</v>
      </c>
      <c r="Q25" s="192">
        <f t="shared" si="3"/>
        <v>2696.9929999999999</v>
      </c>
      <c r="R25" s="192">
        <f t="shared" si="4"/>
        <v>2852.5439999999999</v>
      </c>
      <c r="S25" s="192">
        <f t="shared" si="5"/>
        <v>3067.8159999999998</v>
      </c>
      <c r="U25" s="350"/>
    </row>
    <row r="26" spans="1:21" ht="24.95" customHeight="1">
      <c r="A26" s="187" t="s">
        <v>72</v>
      </c>
      <c r="B26" s="188" t="s">
        <v>381</v>
      </c>
      <c r="C26" s="189" t="s">
        <v>222</v>
      </c>
      <c r="D26" s="190">
        <v>14074</v>
      </c>
      <c r="E26" s="190">
        <v>442</v>
      </c>
      <c r="F26" s="190">
        <v>2365</v>
      </c>
      <c r="G26" s="190">
        <v>472</v>
      </c>
      <c r="H26" s="190">
        <v>7291</v>
      </c>
      <c r="I26" s="190">
        <v>3504</v>
      </c>
      <c r="J26" s="190">
        <f t="shared" si="0"/>
        <v>10128</v>
      </c>
      <c r="K26" s="329">
        <v>5.7999999999999996E-2</v>
      </c>
      <c r="L26" s="329">
        <v>0.14300000000000002</v>
      </c>
      <c r="M26" s="330">
        <v>0.12</v>
      </c>
      <c r="N26" s="191">
        <f t="shared" si="1"/>
        <v>25.635999999999999</v>
      </c>
      <c r="O26" s="192">
        <f t="shared" si="2"/>
        <v>137.16999999999999</v>
      </c>
      <c r="P26" s="192">
        <f t="shared" si="2"/>
        <v>67.496000000000009</v>
      </c>
      <c r="Q26" s="192">
        <f t="shared" si="3"/>
        <v>1042.6130000000001</v>
      </c>
      <c r="R26" s="192">
        <f t="shared" si="4"/>
        <v>1110.1090000000002</v>
      </c>
      <c r="S26" s="192">
        <f t="shared" si="5"/>
        <v>1215.3599999999999</v>
      </c>
      <c r="U26" s="350"/>
    </row>
    <row r="27" spans="1:21" ht="24.95" customHeight="1">
      <c r="A27" s="187" t="s">
        <v>125</v>
      </c>
      <c r="B27" s="188" t="s">
        <v>428</v>
      </c>
      <c r="C27" s="189" t="s">
        <v>222</v>
      </c>
      <c r="D27" s="190">
        <v>12058</v>
      </c>
      <c r="E27" s="190">
        <v>317</v>
      </c>
      <c r="F27" s="190">
        <v>1754</v>
      </c>
      <c r="G27" s="190">
        <v>363</v>
      </c>
      <c r="H27" s="190">
        <v>5944</v>
      </c>
      <c r="I27" s="190">
        <v>3680</v>
      </c>
      <c r="J27" s="190">
        <f t="shared" si="0"/>
        <v>8061</v>
      </c>
      <c r="K27" s="329">
        <v>7.9000000000000001E-2</v>
      </c>
      <c r="L27" s="329">
        <v>0.192</v>
      </c>
      <c r="M27" s="330">
        <v>0.16300000000000001</v>
      </c>
      <c r="N27" s="191">
        <f t="shared" si="1"/>
        <v>25.042999999999999</v>
      </c>
      <c r="O27" s="192">
        <f t="shared" si="2"/>
        <v>138.566</v>
      </c>
      <c r="P27" s="192">
        <f t="shared" si="2"/>
        <v>69.695999999999998</v>
      </c>
      <c r="Q27" s="192">
        <f t="shared" si="3"/>
        <v>1141.248</v>
      </c>
      <c r="R27" s="192">
        <f t="shared" si="4"/>
        <v>1210.944</v>
      </c>
      <c r="S27" s="192">
        <f t="shared" si="5"/>
        <v>1313.943</v>
      </c>
      <c r="U27" s="350"/>
    </row>
    <row r="28" spans="1:21" ht="24.95" customHeight="1">
      <c r="A28" s="187" t="s">
        <v>103</v>
      </c>
      <c r="B28" s="188" t="s">
        <v>491</v>
      </c>
      <c r="C28" s="189" t="s">
        <v>222</v>
      </c>
      <c r="D28" s="190">
        <v>100289</v>
      </c>
      <c r="E28" s="190">
        <v>3381</v>
      </c>
      <c r="F28" s="190">
        <v>17654</v>
      </c>
      <c r="G28" s="190">
        <v>4286</v>
      </c>
      <c r="H28" s="190">
        <v>55775</v>
      </c>
      <c r="I28" s="190">
        <v>19193</v>
      </c>
      <c r="J28" s="190">
        <f t="shared" si="0"/>
        <v>77715</v>
      </c>
      <c r="K28" s="329">
        <v>5.2000000000000005E-2</v>
      </c>
      <c r="L28" s="329">
        <v>0.161</v>
      </c>
      <c r="M28" s="330">
        <v>0.13100000000000001</v>
      </c>
      <c r="N28" s="191">
        <f t="shared" si="1"/>
        <v>175.81200000000001</v>
      </c>
      <c r="O28" s="192">
        <f t="shared" si="2"/>
        <v>918.00800000000004</v>
      </c>
      <c r="P28" s="192">
        <f t="shared" si="2"/>
        <v>690.04600000000005</v>
      </c>
      <c r="Q28" s="192">
        <f t="shared" si="3"/>
        <v>8979.7749999999996</v>
      </c>
      <c r="R28" s="192">
        <f t="shared" si="4"/>
        <v>9669.8209999999999</v>
      </c>
      <c r="S28" s="192">
        <f t="shared" si="5"/>
        <v>10180.665000000001</v>
      </c>
      <c r="U28" s="350"/>
    </row>
    <row r="29" spans="1:21" ht="24.95" customHeight="1">
      <c r="A29" s="187" t="s">
        <v>89</v>
      </c>
      <c r="B29" s="188" t="s">
        <v>381</v>
      </c>
      <c r="C29" s="189" t="s">
        <v>222</v>
      </c>
      <c r="D29" s="190">
        <v>56220</v>
      </c>
      <c r="E29" s="190">
        <v>1723</v>
      </c>
      <c r="F29" s="190">
        <v>9746</v>
      </c>
      <c r="G29" s="190">
        <v>2272</v>
      </c>
      <c r="H29" s="190">
        <v>31458</v>
      </c>
      <c r="I29" s="190">
        <v>11021</v>
      </c>
      <c r="J29" s="190">
        <f t="shared" si="0"/>
        <v>43476</v>
      </c>
      <c r="K29" s="329">
        <v>5.5999999999999994E-2</v>
      </c>
      <c r="L29" s="329">
        <v>0.19399999999999998</v>
      </c>
      <c r="M29" s="330">
        <v>0.156</v>
      </c>
      <c r="N29" s="191">
        <f t="shared" si="1"/>
        <v>96.487999999999985</v>
      </c>
      <c r="O29" s="192">
        <f t="shared" si="2"/>
        <v>545.77599999999995</v>
      </c>
      <c r="P29" s="192">
        <f t="shared" si="2"/>
        <v>440.76799999999997</v>
      </c>
      <c r="Q29" s="192">
        <f t="shared" si="3"/>
        <v>6102.851999999999</v>
      </c>
      <c r="R29" s="192">
        <f t="shared" si="4"/>
        <v>6543.619999999999</v>
      </c>
      <c r="S29" s="192">
        <f t="shared" si="5"/>
        <v>6782.2560000000003</v>
      </c>
      <c r="U29" s="350"/>
    </row>
    <row r="30" spans="1:21" ht="24.95" customHeight="1">
      <c r="A30" s="187" t="s">
        <v>73</v>
      </c>
      <c r="B30" s="188" t="s">
        <v>381</v>
      </c>
      <c r="C30" s="189" t="s">
        <v>221</v>
      </c>
      <c r="D30" s="190">
        <v>103983</v>
      </c>
      <c r="E30" s="190">
        <v>4307</v>
      </c>
      <c r="F30" s="190">
        <v>22474</v>
      </c>
      <c r="G30" s="190">
        <v>4909</v>
      </c>
      <c r="H30" s="190">
        <v>54157</v>
      </c>
      <c r="I30" s="190">
        <v>18136</v>
      </c>
      <c r="J30" s="190">
        <f t="shared" si="0"/>
        <v>81540</v>
      </c>
      <c r="K30" s="329">
        <v>5.7999999999999996E-2</v>
      </c>
      <c r="L30" s="329">
        <v>0.14000000000000001</v>
      </c>
      <c r="M30" s="330">
        <v>0.11699999999999999</v>
      </c>
      <c r="N30" s="191">
        <f t="shared" si="1"/>
        <v>249.80599999999998</v>
      </c>
      <c r="O30" s="192">
        <f t="shared" si="2"/>
        <v>1303.492</v>
      </c>
      <c r="P30" s="192">
        <f t="shared" si="2"/>
        <v>687.2600000000001</v>
      </c>
      <c r="Q30" s="192">
        <f t="shared" si="3"/>
        <v>7581.9800000000005</v>
      </c>
      <c r="R30" s="192">
        <f t="shared" si="4"/>
        <v>8269.24</v>
      </c>
      <c r="S30" s="192">
        <f t="shared" si="5"/>
        <v>9540.18</v>
      </c>
      <c r="U30" s="350"/>
    </row>
    <row r="31" spans="1:21" ht="24.95" customHeight="1">
      <c r="A31" s="187" t="s">
        <v>41</v>
      </c>
      <c r="B31" s="188" t="s">
        <v>469</v>
      </c>
      <c r="C31" s="189" t="s">
        <v>221</v>
      </c>
      <c r="D31" s="190">
        <v>333209</v>
      </c>
      <c r="E31" s="190">
        <v>15912</v>
      </c>
      <c r="F31" s="190">
        <v>73569</v>
      </c>
      <c r="G31" s="190">
        <v>15240</v>
      </c>
      <c r="H31" s="190">
        <v>183898</v>
      </c>
      <c r="I31" s="190">
        <v>44590</v>
      </c>
      <c r="J31" s="190">
        <f t="shared" si="0"/>
        <v>272707</v>
      </c>
      <c r="K31" s="329">
        <v>3.5000000000000003E-2</v>
      </c>
      <c r="L31" s="329">
        <v>0.13800000000000001</v>
      </c>
      <c r="M31" s="330">
        <v>0.107</v>
      </c>
      <c r="N31" s="191">
        <f t="shared" si="1"/>
        <v>556.92000000000007</v>
      </c>
      <c r="O31" s="192">
        <f t="shared" si="2"/>
        <v>2574.9150000000004</v>
      </c>
      <c r="P31" s="192">
        <f t="shared" si="2"/>
        <v>2103.1200000000003</v>
      </c>
      <c r="Q31" s="192">
        <f t="shared" si="3"/>
        <v>25377.924000000003</v>
      </c>
      <c r="R31" s="192">
        <f t="shared" si="4"/>
        <v>27481.044000000002</v>
      </c>
      <c r="S31" s="192">
        <f t="shared" si="5"/>
        <v>29179.648999999998</v>
      </c>
      <c r="U31" s="350"/>
    </row>
    <row r="32" spans="1:21" ht="24.95" customHeight="1">
      <c r="A32" s="187" t="s">
        <v>74</v>
      </c>
      <c r="B32" s="188" t="s">
        <v>381</v>
      </c>
      <c r="C32" s="189" t="s">
        <v>221</v>
      </c>
      <c r="D32" s="190">
        <v>27952</v>
      </c>
      <c r="E32" s="190">
        <v>638</v>
      </c>
      <c r="F32" s="190">
        <v>4724</v>
      </c>
      <c r="G32" s="190">
        <v>1027</v>
      </c>
      <c r="H32" s="190">
        <v>16751</v>
      </c>
      <c r="I32" s="190">
        <v>4812</v>
      </c>
      <c r="J32" s="190">
        <f t="shared" si="0"/>
        <v>22502</v>
      </c>
      <c r="K32" s="329">
        <v>7.2000000000000008E-2</v>
      </c>
      <c r="L32" s="329">
        <v>0.14599999999999999</v>
      </c>
      <c r="M32" s="330">
        <v>0.126</v>
      </c>
      <c r="N32" s="191">
        <f t="shared" si="1"/>
        <v>45.936000000000007</v>
      </c>
      <c r="O32" s="192">
        <f t="shared" si="2"/>
        <v>340.12800000000004</v>
      </c>
      <c r="P32" s="192">
        <f t="shared" si="2"/>
        <v>149.94199999999998</v>
      </c>
      <c r="Q32" s="192">
        <f t="shared" si="3"/>
        <v>2445.6459999999997</v>
      </c>
      <c r="R32" s="192">
        <f t="shared" si="4"/>
        <v>2595.5879999999997</v>
      </c>
      <c r="S32" s="192">
        <f t="shared" si="5"/>
        <v>2835.252</v>
      </c>
      <c r="U32" s="350"/>
    </row>
    <row r="33" spans="1:21" ht="24.95" customHeight="1">
      <c r="A33" s="187" t="s">
        <v>75</v>
      </c>
      <c r="B33" s="188" t="s">
        <v>381</v>
      </c>
      <c r="C33" s="189" t="s">
        <v>222</v>
      </c>
      <c r="D33" s="190">
        <v>37560</v>
      </c>
      <c r="E33" s="190">
        <v>992</v>
      </c>
      <c r="F33" s="190">
        <v>5824</v>
      </c>
      <c r="G33" s="190">
        <v>949</v>
      </c>
      <c r="H33" s="190">
        <v>21321</v>
      </c>
      <c r="I33" s="190">
        <v>8474</v>
      </c>
      <c r="J33" s="190">
        <f t="shared" si="0"/>
        <v>28094</v>
      </c>
      <c r="K33" s="329">
        <v>6.9000000000000006E-2</v>
      </c>
      <c r="L33" s="329">
        <v>0.17399999999999999</v>
      </c>
      <c r="M33" s="330">
        <v>0.14800000000000002</v>
      </c>
      <c r="N33" s="191">
        <f t="shared" si="1"/>
        <v>68.448000000000008</v>
      </c>
      <c r="O33" s="192">
        <f t="shared" si="2"/>
        <v>401.85600000000005</v>
      </c>
      <c r="P33" s="192">
        <f t="shared" si="2"/>
        <v>165.12599999999998</v>
      </c>
      <c r="Q33" s="192">
        <f t="shared" si="3"/>
        <v>3709.8539999999998</v>
      </c>
      <c r="R33" s="192">
        <f t="shared" si="4"/>
        <v>3874.9799999999996</v>
      </c>
      <c r="S33" s="192">
        <f t="shared" si="5"/>
        <v>4157.9120000000003</v>
      </c>
      <c r="U33" s="350"/>
    </row>
    <row r="34" spans="1:21" ht="24.95" customHeight="1">
      <c r="A34" s="187" t="s">
        <v>49</v>
      </c>
      <c r="B34" s="188" t="s">
        <v>490</v>
      </c>
      <c r="C34" s="189" t="s">
        <v>221</v>
      </c>
      <c r="D34" s="190">
        <v>170888</v>
      </c>
      <c r="E34" s="190">
        <v>5544</v>
      </c>
      <c r="F34" s="190">
        <v>30234</v>
      </c>
      <c r="G34" s="190">
        <v>6091</v>
      </c>
      <c r="H34" s="190">
        <v>97791</v>
      </c>
      <c r="I34" s="190">
        <v>31228</v>
      </c>
      <c r="J34" s="190">
        <f t="shared" si="0"/>
        <v>134116</v>
      </c>
      <c r="K34" s="329">
        <v>6.2E-2</v>
      </c>
      <c r="L34" s="329">
        <v>0.17199999999999999</v>
      </c>
      <c r="M34" s="330">
        <v>0.14199999999999999</v>
      </c>
      <c r="N34" s="191">
        <f t="shared" si="1"/>
        <v>343.72800000000001</v>
      </c>
      <c r="O34" s="192">
        <f t="shared" si="2"/>
        <v>1874.508</v>
      </c>
      <c r="P34" s="192">
        <f t="shared" si="2"/>
        <v>1047.6519999999998</v>
      </c>
      <c r="Q34" s="192">
        <f t="shared" si="3"/>
        <v>16820.052</v>
      </c>
      <c r="R34" s="192">
        <f t="shared" si="4"/>
        <v>17867.703999999998</v>
      </c>
      <c r="S34" s="192">
        <f t="shared" si="5"/>
        <v>19044.471999999998</v>
      </c>
      <c r="U34" s="350"/>
    </row>
    <row r="35" spans="1:21" ht="24.95" customHeight="1">
      <c r="A35" s="187" t="s">
        <v>60</v>
      </c>
      <c r="B35" s="188" t="s">
        <v>490</v>
      </c>
      <c r="C35" s="189" t="s">
        <v>221</v>
      </c>
      <c r="D35" s="190">
        <v>43965</v>
      </c>
      <c r="E35" s="190">
        <v>1262</v>
      </c>
      <c r="F35" s="190">
        <v>7168</v>
      </c>
      <c r="G35" s="190">
        <v>1591</v>
      </c>
      <c r="H35" s="190">
        <v>24641</v>
      </c>
      <c r="I35" s="190">
        <v>9303</v>
      </c>
      <c r="J35" s="190">
        <f t="shared" si="0"/>
        <v>33400</v>
      </c>
      <c r="K35" s="329">
        <v>6.7000000000000004E-2</v>
      </c>
      <c r="L35" s="329">
        <v>0.155</v>
      </c>
      <c r="M35" s="330">
        <v>0.13100000000000001</v>
      </c>
      <c r="N35" s="191">
        <f t="shared" si="1"/>
        <v>84.554000000000002</v>
      </c>
      <c r="O35" s="192">
        <f t="shared" si="2"/>
        <v>480.25600000000003</v>
      </c>
      <c r="P35" s="192">
        <f t="shared" si="2"/>
        <v>246.60499999999999</v>
      </c>
      <c r="Q35" s="192">
        <f t="shared" si="3"/>
        <v>3819.355</v>
      </c>
      <c r="R35" s="192">
        <f t="shared" si="4"/>
        <v>4065.96</v>
      </c>
      <c r="S35" s="192">
        <f t="shared" si="5"/>
        <v>4375.4000000000005</v>
      </c>
      <c r="U35" s="350"/>
    </row>
    <row r="36" spans="1:21" ht="24.95" customHeight="1">
      <c r="A36" s="187" t="s">
        <v>90</v>
      </c>
      <c r="B36" s="188" t="s">
        <v>15</v>
      </c>
      <c r="C36" s="189" t="s">
        <v>222</v>
      </c>
      <c r="D36" s="190">
        <v>59756</v>
      </c>
      <c r="E36" s="190">
        <v>2105</v>
      </c>
      <c r="F36" s="190">
        <v>11731</v>
      </c>
      <c r="G36" s="190">
        <v>2412</v>
      </c>
      <c r="H36" s="190">
        <v>32464</v>
      </c>
      <c r="I36" s="190">
        <v>11044</v>
      </c>
      <c r="J36" s="190">
        <f t="shared" si="0"/>
        <v>46607</v>
      </c>
      <c r="K36" s="329">
        <v>8.5000000000000006E-2</v>
      </c>
      <c r="L36" s="329">
        <v>0.25700000000000001</v>
      </c>
      <c r="M36" s="330">
        <v>0.20699999999999999</v>
      </c>
      <c r="N36" s="191">
        <f t="shared" si="1"/>
        <v>178.92500000000001</v>
      </c>
      <c r="O36" s="192">
        <f t="shared" si="2"/>
        <v>997.1350000000001</v>
      </c>
      <c r="P36" s="192">
        <f t="shared" si="2"/>
        <v>619.88400000000001</v>
      </c>
      <c r="Q36" s="192">
        <f t="shared" si="3"/>
        <v>8343.2479999999996</v>
      </c>
      <c r="R36" s="192">
        <f t="shared" si="4"/>
        <v>8963.1319999999996</v>
      </c>
      <c r="S36" s="192">
        <f t="shared" si="5"/>
        <v>9647.6489999999994</v>
      </c>
      <c r="U36" s="350"/>
    </row>
    <row r="37" spans="1:21" ht="24.95" customHeight="1">
      <c r="A37" s="187" t="s">
        <v>42</v>
      </c>
      <c r="B37" s="188" t="s">
        <v>469</v>
      </c>
      <c r="C37" s="189" t="s">
        <v>221</v>
      </c>
      <c r="D37" s="190">
        <v>320322</v>
      </c>
      <c r="E37" s="190">
        <v>12750</v>
      </c>
      <c r="F37" s="190">
        <v>62496</v>
      </c>
      <c r="G37" s="190">
        <v>15155</v>
      </c>
      <c r="H37" s="190">
        <v>187379</v>
      </c>
      <c r="I37" s="190">
        <v>42542</v>
      </c>
      <c r="J37" s="190">
        <f t="shared" si="0"/>
        <v>265030</v>
      </c>
      <c r="K37" s="329">
        <v>5.0999999999999997E-2</v>
      </c>
      <c r="L37" s="329">
        <v>0.151</v>
      </c>
      <c r="M37" s="330">
        <v>0.126</v>
      </c>
      <c r="N37" s="191">
        <f t="shared" si="1"/>
        <v>650.25</v>
      </c>
      <c r="O37" s="192">
        <f t="shared" si="2"/>
        <v>3187.2959999999998</v>
      </c>
      <c r="P37" s="192">
        <f t="shared" si="2"/>
        <v>2288.4049999999997</v>
      </c>
      <c r="Q37" s="192">
        <f t="shared" si="3"/>
        <v>28294.228999999999</v>
      </c>
      <c r="R37" s="192">
        <f t="shared" si="4"/>
        <v>30582.633999999998</v>
      </c>
      <c r="S37" s="192">
        <f t="shared" si="5"/>
        <v>33393.78</v>
      </c>
      <c r="U37" s="350"/>
    </row>
    <row r="38" spans="1:21" ht="24.95" customHeight="1">
      <c r="A38" s="187" t="s">
        <v>91</v>
      </c>
      <c r="B38" s="188" t="s">
        <v>15</v>
      </c>
      <c r="C38" s="189" t="s">
        <v>221</v>
      </c>
      <c r="D38" s="190">
        <v>52447</v>
      </c>
      <c r="E38" s="190">
        <v>1782</v>
      </c>
      <c r="F38" s="190">
        <v>10026</v>
      </c>
      <c r="G38" s="190">
        <v>2081</v>
      </c>
      <c r="H38" s="190">
        <v>27646</v>
      </c>
      <c r="I38" s="190">
        <v>10912</v>
      </c>
      <c r="J38" s="190">
        <f t="shared" si="0"/>
        <v>39753</v>
      </c>
      <c r="K38" s="329">
        <v>4.2000000000000003E-2</v>
      </c>
      <c r="L38" s="329">
        <v>0.16</v>
      </c>
      <c r="M38" s="330">
        <v>0.127</v>
      </c>
      <c r="N38" s="191">
        <f t="shared" si="1"/>
        <v>74.844000000000008</v>
      </c>
      <c r="O38" s="192">
        <f t="shared" si="2"/>
        <v>421.09200000000004</v>
      </c>
      <c r="P38" s="192">
        <f t="shared" si="2"/>
        <v>332.96</v>
      </c>
      <c r="Q38" s="192">
        <f t="shared" si="3"/>
        <v>4423.3599999999997</v>
      </c>
      <c r="R38" s="192">
        <f t="shared" si="4"/>
        <v>4756.32</v>
      </c>
      <c r="S38" s="192">
        <f t="shared" si="5"/>
        <v>5048.6310000000003</v>
      </c>
      <c r="U38" s="350"/>
    </row>
    <row r="39" spans="1:21" ht="24.95" customHeight="1">
      <c r="A39" s="187" t="s">
        <v>61</v>
      </c>
      <c r="B39" s="188" t="s">
        <v>490</v>
      </c>
      <c r="C39" s="189" t="s">
        <v>221</v>
      </c>
      <c r="D39" s="190">
        <v>383123</v>
      </c>
      <c r="E39" s="190">
        <v>13529</v>
      </c>
      <c r="F39" s="190">
        <v>73531</v>
      </c>
      <c r="G39" s="190">
        <v>16737</v>
      </c>
      <c r="H39" s="190">
        <v>216687</v>
      </c>
      <c r="I39" s="190">
        <v>62639</v>
      </c>
      <c r="J39" s="190">
        <f t="shared" si="0"/>
        <v>306955</v>
      </c>
      <c r="K39" s="329">
        <v>4.2999999999999997E-2</v>
      </c>
      <c r="L39" s="329">
        <v>0.161</v>
      </c>
      <c r="M39" s="330">
        <v>0.128</v>
      </c>
      <c r="N39" s="191">
        <f t="shared" si="1"/>
        <v>581.74699999999996</v>
      </c>
      <c r="O39" s="192">
        <f t="shared" si="2"/>
        <v>3161.8329999999996</v>
      </c>
      <c r="P39" s="192">
        <f t="shared" si="2"/>
        <v>2694.6570000000002</v>
      </c>
      <c r="Q39" s="192">
        <f t="shared" si="3"/>
        <v>34886.607000000004</v>
      </c>
      <c r="R39" s="192">
        <f t="shared" si="4"/>
        <v>37581.264000000003</v>
      </c>
      <c r="S39" s="192">
        <f t="shared" si="5"/>
        <v>39290.239999999998</v>
      </c>
      <c r="U39" s="350"/>
    </row>
    <row r="40" spans="1:21" ht="24.95" customHeight="1">
      <c r="A40" s="187" t="s">
        <v>50</v>
      </c>
      <c r="B40" s="188" t="s">
        <v>490</v>
      </c>
      <c r="C40" s="189" t="s">
        <v>221</v>
      </c>
      <c r="D40" s="190">
        <v>70212</v>
      </c>
      <c r="E40" s="190">
        <v>2257</v>
      </c>
      <c r="F40" s="190">
        <v>12559</v>
      </c>
      <c r="G40" s="190">
        <v>2821</v>
      </c>
      <c r="H40" s="190">
        <v>40009</v>
      </c>
      <c r="I40" s="190">
        <v>12566</v>
      </c>
      <c r="J40" s="190">
        <f t="shared" si="0"/>
        <v>55389</v>
      </c>
      <c r="K40" s="329">
        <v>5.7000000000000002E-2</v>
      </c>
      <c r="L40" s="329">
        <v>0.16800000000000001</v>
      </c>
      <c r="M40" s="330">
        <v>0.13800000000000001</v>
      </c>
      <c r="N40" s="191">
        <f t="shared" si="1"/>
        <v>128.649</v>
      </c>
      <c r="O40" s="192">
        <f t="shared" si="2"/>
        <v>715.86300000000006</v>
      </c>
      <c r="P40" s="192">
        <f t="shared" si="2"/>
        <v>473.92800000000005</v>
      </c>
      <c r="Q40" s="192">
        <f t="shared" si="3"/>
        <v>6721.5120000000006</v>
      </c>
      <c r="R40" s="192">
        <f t="shared" si="4"/>
        <v>7195.4400000000005</v>
      </c>
      <c r="S40" s="192">
        <f t="shared" si="5"/>
        <v>7643.6820000000007</v>
      </c>
      <c r="U40" s="350"/>
    </row>
    <row r="41" spans="1:21" ht="24.95" customHeight="1">
      <c r="A41" s="187" t="s">
        <v>104</v>
      </c>
      <c r="B41" s="188" t="s">
        <v>491</v>
      </c>
      <c r="C41" s="189" t="s">
        <v>221</v>
      </c>
      <c r="D41" s="190">
        <v>223842</v>
      </c>
      <c r="E41" s="190">
        <v>7798</v>
      </c>
      <c r="F41" s="190">
        <v>41609</v>
      </c>
      <c r="G41" s="190">
        <v>8875</v>
      </c>
      <c r="H41" s="190">
        <v>128226</v>
      </c>
      <c r="I41" s="190">
        <v>37334</v>
      </c>
      <c r="J41" s="190">
        <f t="shared" si="0"/>
        <v>178710</v>
      </c>
      <c r="K41" s="329">
        <v>0.05</v>
      </c>
      <c r="L41" s="329">
        <v>0.152</v>
      </c>
      <c r="M41" s="330">
        <v>0.124</v>
      </c>
      <c r="N41" s="191">
        <f t="shared" si="1"/>
        <v>389.90000000000003</v>
      </c>
      <c r="O41" s="192">
        <f t="shared" si="2"/>
        <v>2080.4500000000003</v>
      </c>
      <c r="P41" s="192">
        <f t="shared" si="2"/>
        <v>1349</v>
      </c>
      <c r="Q41" s="192">
        <f t="shared" si="3"/>
        <v>19490.351999999999</v>
      </c>
      <c r="R41" s="192">
        <f t="shared" si="4"/>
        <v>20839.351999999999</v>
      </c>
      <c r="S41" s="192">
        <f t="shared" si="5"/>
        <v>22160.04</v>
      </c>
      <c r="U41" s="350"/>
    </row>
    <row r="42" spans="1:21" ht="24.95" customHeight="1">
      <c r="A42" s="187" t="s">
        <v>76</v>
      </c>
      <c r="B42" s="188" t="s">
        <v>381</v>
      </c>
      <c r="C42" s="189" t="s">
        <v>221</v>
      </c>
      <c r="D42" s="190">
        <v>12165</v>
      </c>
      <c r="E42" s="190">
        <v>256</v>
      </c>
      <c r="F42" s="190">
        <v>1977</v>
      </c>
      <c r="G42" s="190">
        <v>424</v>
      </c>
      <c r="H42" s="190">
        <v>7010</v>
      </c>
      <c r="I42" s="190">
        <v>2498</v>
      </c>
      <c r="J42" s="190">
        <f t="shared" si="0"/>
        <v>9411</v>
      </c>
      <c r="K42" s="329">
        <v>5.2999999999999999E-2</v>
      </c>
      <c r="L42" s="329">
        <v>0.127</v>
      </c>
      <c r="M42" s="330">
        <v>0.10800000000000001</v>
      </c>
      <c r="N42" s="191">
        <f t="shared" si="1"/>
        <v>13.568</v>
      </c>
      <c r="O42" s="192">
        <f t="shared" si="2"/>
        <v>104.78099999999999</v>
      </c>
      <c r="P42" s="192">
        <f t="shared" si="2"/>
        <v>53.847999999999999</v>
      </c>
      <c r="Q42" s="192">
        <f t="shared" si="3"/>
        <v>890.27</v>
      </c>
      <c r="R42" s="192">
        <f t="shared" si="4"/>
        <v>944.11799999999994</v>
      </c>
      <c r="S42" s="192">
        <f t="shared" si="5"/>
        <v>1016.3880000000001</v>
      </c>
      <c r="U42" s="350"/>
    </row>
    <row r="43" spans="1:21" ht="24.95" customHeight="1">
      <c r="A43" s="187" t="s">
        <v>126</v>
      </c>
      <c r="B43" s="188" t="s">
        <v>428</v>
      </c>
      <c r="C43" s="189" t="s">
        <v>222</v>
      </c>
      <c r="D43" s="190">
        <v>8686</v>
      </c>
      <c r="E43" s="190">
        <v>263</v>
      </c>
      <c r="F43" s="190">
        <v>1465</v>
      </c>
      <c r="G43" s="190">
        <v>337</v>
      </c>
      <c r="H43" s="190">
        <v>4431</v>
      </c>
      <c r="I43" s="190">
        <v>2190</v>
      </c>
      <c r="J43" s="190">
        <f t="shared" si="0"/>
        <v>6233</v>
      </c>
      <c r="K43" s="329">
        <v>7.9000000000000001E-2</v>
      </c>
      <c r="L43" s="329">
        <v>0.222</v>
      </c>
      <c r="M43" s="330">
        <v>0.185</v>
      </c>
      <c r="N43" s="191">
        <f t="shared" si="1"/>
        <v>20.777000000000001</v>
      </c>
      <c r="O43" s="192">
        <f t="shared" si="2"/>
        <v>115.735</v>
      </c>
      <c r="P43" s="192">
        <f t="shared" si="2"/>
        <v>74.814000000000007</v>
      </c>
      <c r="Q43" s="192">
        <f t="shared" si="3"/>
        <v>983.68200000000002</v>
      </c>
      <c r="R43" s="192">
        <f t="shared" si="4"/>
        <v>1058.4960000000001</v>
      </c>
      <c r="S43" s="192">
        <f t="shared" si="5"/>
        <v>1153.105</v>
      </c>
      <c r="U43" s="350"/>
    </row>
    <row r="44" spans="1:21" ht="24.95" customHeight="1">
      <c r="A44" s="187" t="s">
        <v>51</v>
      </c>
      <c r="B44" s="188" t="s">
        <v>490</v>
      </c>
      <c r="C44" s="189" t="s">
        <v>221</v>
      </c>
      <c r="D44" s="190">
        <v>62147</v>
      </c>
      <c r="E44" s="190">
        <v>1843</v>
      </c>
      <c r="F44" s="190">
        <v>10063</v>
      </c>
      <c r="G44" s="190">
        <v>2633</v>
      </c>
      <c r="H44" s="190">
        <v>36782</v>
      </c>
      <c r="I44" s="190">
        <v>10826</v>
      </c>
      <c r="J44" s="190">
        <f t="shared" si="0"/>
        <v>49478</v>
      </c>
      <c r="K44" s="329">
        <v>5.5999999999999994E-2</v>
      </c>
      <c r="L44" s="329">
        <v>0.15</v>
      </c>
      <c r="M44" s="330">
        <v>0.125</v>
      </c>
      <c r="N44" s="191">
        <f t="shared" si="1"/>
        <v>103.20799999999998</v>
      </c>
      <c r="O44" s="192">
        <f t="shared" si="2"/>
        <v>563.52799999999991</v>
      </c>
      <c r="P44" s="192">
        <f t="shared" si="2"/>
        <v>394.95</v>
      </c>
      <c r="Q44" s="192">
        <f t="shared" si="3"/>
        <v>5517.3</v>
      </c>
      <c r="R44" s="192">
        <f t="shared" si="4"/>
        <v>5912.25</v>
      </c>
      <c r="S44" s="192">
        <f t="shared" si="5"/>
        <v>6184.75</v>
      </c>
      <c r="U44" s="350"/>
    </row>
    <row r="45" spans="1:21" ht="24.95" customHeight="1">
      <c r="A45" s="187" t="s">
        <v>92</v>
      </c>
      <c r="B45" s="188" t="s">
        <v>15</v>
      </c>
      <c r="C45" s="189" t="s">
        <v>222</v>
      </c>
      <c r="D45" s="190">
        <v>21051</v>
      </c>
      <c r="E45" s="190">
        <v>633</v>
      </c>
      <c r="F45" s="190">
        <v>3646</v>
      </c>
      <c r="G45" s="190">
        <v>777</v>
      </c>
      <c r="H45" s="190">
        <v>12368</v>
      </c>
      <c r="I45" s="190">
        <v>3627</v>
      </c>
      <c r="J45" s="190">
        <f t="shared" si="0"/>
        <v>16791</v>
      </c>
      <c r="K45" s="329">
        <v>8.5000000000000006E-2</v>
      </c>
      <c r="L45" s="329">
        <v>0.23800000000000002</v>
      </c>
      <c r="M45" s="330">
        <v>0.19600000000000001</v>
      </c>
      <c r="N45" s="191">
        <f t="shared" si="1"/>
        <v>53.805000000000007</v>
      </c>
      <c r="O45" s="192">
        <f t="shared" si="2"/>
        <v>309.91000000000003</v>
      </c>
      <c r="P45" s="192">
        <f t="shared" si="2"/>
        <v>184.92600000000002</v>
      </c>
      <c r="Q45" s="192">
        <f t="shared" si="3"/>
        <v>2943.5840000000003</v>
      </c>
      <c r="R45" s="192">
        <f t="shared" si="4"/>
        <v>3128.51</v>
      </c>
      <c r="S45" s="192">
        <f t="shared" si="5"/>
        <v>3291.0360000000001</v>
      </c>
      <c r="U45" s="350"/>
    </row>
    <row r="46" spans="1:21" ht="24.95" customHeight="1">
      <c r="A46" s="187" t="s">
        <v>110</v>
      </c>
      <c r="B46" s="188" t="s">
        <v>17</v>
      </c>
      <c r="C46" s="189" t="s">
        <v>221</v>
      </c>
      <c r="D46" s="190">
        <v>545348</v>
      </c>
      <c r="E46" s="190">
        <v>18879</v>
      </c>
      <c r="F46" s="190">
        <v>97763</v>
      </c>
      <c r="G46" s="190">
        <v>28336</v>
      </c>
      <c r="H46" s="190">
        <v>314015</v>
      </c>
      <c r="I46" s="190">
        <v>86355</v>
      </c>
      <c r="J46" s="190">
        <f t="shared" si="0"/>
        <v>440114</v>
      </c>
      <c r="K46" s="329">
        <v>4.7E-2</v>
      </c>
      <c r="L46" s="329">
        <v>0.14000000000000001</v>
      </c>
      <c r="M46" s="330">
        <v>0.115</v>
      </c>
      <c r="N46" s="191">
        <f t="shared" si="1"/>
        <v>887.31299999999999</v>
      </c>
      <c r="O46" s="192">
        <f t="shared" si="2"/>
        <v>4594.8609999999999</v>
      </c>
      <c r="P46" s="192">
        <f t="shared" si="2"/>
        <v>3967.0400000000004</v>
      </c>
      <c r="Q46" s="192">
        <f t="shared" si="3"/>
        <v>43962.100000000006</v>
      </c>
      <c r="R46" s="192">
        <f t="shared" si="4"/>
        <v>47929.140000000007</v>
      </c>
      <c r="S46" s="192">
        <f t="shared" si="5"/>
        <v>50613.11</v>
      </c>
      <c r="U46" s="350"/>
    </row>
    <row r="47" spans="1:21" ht="24.95" customHeight="1">
      <c r="A47" s="187" t="s">
        <v>52</v>
      </c>
      <c r="B47" s="188" t="s">
        <v>490</v>
      </c>
      <c r="C47" s="189" t="s">
        <v>222</v>
      </c>
      <c r="D47" s="190">
        <v>50838</v>
      </c>
      <c r="E47" s="190">
        <v>1719</v>
      </c>
      <c r="F47" s="190">
        <v>8919</v>
      </c>
      <c r="G47" s="190">
        <v>1824</v>
      </c>
      <c r="H47" s="190">
        <v>27546</v>
      </c>
      <c r="I47" s="190">
        <v>10830</v>
      </c>
      <c r="J47" s="190">
        <f t="shared" si="0"/>
        <v>38289</v>
      </c>
      <c r="K47" s="329">
        <v>5.2000000000000005E-2</v>
      </c>
      <c r="L47" s="329">
        <v>0.16399999999999998</v>
      </c>
      <c r="M47" s="330">
        <v>0.13300000000000001</v>
      </c>
      <c r="N47" s="191">
        <f t="shared" si="1"/>
        <v>89.388000000000005</v>
      </c>
      <c r="O47" s="192">
        <f t="shared" si="2"/>
        <v>463.78800000000007</v>
      </c>
      <c r="P47" s="192">
        <f t="shared" si="2"/>
        <v>299.13599999999997</v>
      </c>
      <c r="Q47" s="192">
        <f t="shared" si="3"/>
        <v>4517.5439999999999</v>
      </c>
      <c r="R47" s="192">
        <f t="shared" si="4"/>
        <v>4816.68</v>
      </c>
      <c r="S47" s="192">
        <f t="shared" si="5"/>
        <v>5092.4369999999999</v>
      </c>
      <c r="U47" s="350"/>
    </row>
    <row r="48" spans="1:21" ht="24.95" customHeight="1">
      <c r="A48" s="187" t="s">
        <v>111</v>
      </c>
      <c r="B48" s="188" t="s">
        <v>17</v>
      </c>
      <c r="C48" s="189" t="s">
        <v>221</v>
      </c>
      <c r="D48" s="190">
        <v>137358</v>
      </c>
      <c r="E48" s="190">
        <v>5718</v>
      </c>
      <c r="F48" s="190">
        <v>30793</v>
      </c>
      <c r="G48" s="190">
        <v>6528</v>
      </c>
      <c r="H48" s="190">
        <v>76122</v>
      </c>
      <c r="I48" s="190">
        <v>18197</v>
      </c>
      <c r="J48" s="190">
        <f t="shared" si="0"/>
        <v>113443</v>
      </c>
      <c r="K48" s="329">
        <v>5.0999999999999997E-2</v>
      </c>
      <c r="L48" s="329">
        <v>0.17899999999999999</v>
      </c>
      <c r="M48" s="330">
        <v>0.14000000000000001</v>
      </c>
      <c r="N48" s="191">
        <f t="shared" si="1"/>
        <v>291.61799999999999</v>
      </c>
      <c r="O48" s="192">
        <f t="shared" si="2"/>
        <v>1570.443</v>
      </c>
      <c r="P48" s="192">
        <f t="shared" si="2"/>
        <v>1168.5119999999999</v>
      </c>
      <c r="Q48" s="192">
        <f t="shared" si="3"/>
        <v>13625.838</v>
      </c>
      <c r="R48" s="192">
        <f t="shared" si="4"/>
        <v>14794.35</v>
      </c>
      <c r="S48" s="192">
        <f t="shared" si="5"/>
        <v>15882.020000000002</v>
      </c>
      <c r="U48" s="350"/>
    </row>
    <row r="49" spans="1:21" ht="24.95" customHeight="1">
      <c r="A49" s="187" t="s">
        <v>127</v>
      </c>
      <c r="B49" s="188" t="s">
        <v>428</v>
      </c>
      <c r="C49" s="189" t="s">
        <v>221</v>
      </c>
      <c r="D49" s="190">
        <v>63813</v>
      </c>
      <c r="E49" s="190">
        <v>1823</v>
      </c>
      <c r="F49" s="190">
        <v>9556</v>
      </c>
      <c r="G49" s="190">
        <v>1990</v>
      </c>
      <c r="H49" s="190">
        <v>33897</v>
      </c>
      <c r="I49" s="190">
        <v>16547</v>
      </c>
      <c r="J49" s="190">
        <f t="shared" si="0"/>
        <v>45443</v>
      </c>
      <c r="K49" s="329">
        <v>5.4000000000000006E-2</v>
      </c>
      <c r="L49" s="329">
        <v>0.14599999999999999</v>
      </c>
      <c r="M49" s="330">
        <v>0.12300000000000001</v>
      </c>
      <c r="N49" s="191">
        <f t="shared" si="1"/>
        <v>98.442000000000007</v>
      </c>
      <c r="O49" s="192">
        <f t="shared" si="2"/>
        <v>516.02400000000011</v>
      </c>
      <c r="P49" s="192">
        <f t="shared" si="2"/>
        <v>290.53999999999996</v>
      </c>
      <c r="Q49" s="192">
        <f t="shared" si="3"/>
        <v>4948.9619999999995</v>
      </c>
      <c r="R49" s="192">
        <f t="shared" si="4"/>
        <v>5239.5019999999995</v>
      </c>
      <c r="S49" s="192">
        <f t="shared" si="5"/>
        <v>5589.4890000000005</v>
      </c>
      <c r="U49" s="350"/>
    </row>
    <row r="50" spans="1:21" ht="24.95" customHeight="1">
      <c r="A50" s="187" t="s">
        <v>128</v>
      </c>
      <c r="B50" s="188" t="s">
        <v>428</v>
      </c>
      <c r="C50" s="189" t="s">
        <v>221</v>
      </c>
      <c r="D50" s="190">
        <v>119730</v>
      </c>
      <c r="E50" s="190">
        <v>3340</v>
      </c>
      <c r="F50" s="190">
        <v>18577</v>
      </c>
      <c r="G50" s="190">
        <v>3691</v>
      </c>
      <c r="H50" s="190">
        <v>61285</v>
      </c>
      <c r="I50" s="190">
        <v>32837</v>
      </c>
      <c r="J50" s="190">
        <f t="shared" si="0"/>
        <v>83553</v>
      </c>
      <c r="K50" s="329">
        <v>6.3E-2</v>
      </c>
      <c r="L50" s="329">
        <v>0.17499999999999999</v>
      </c>
      <c r="M50" s="330">
        <v>0.14599999999999999</v>
      </c>
      <c r="N50" s="191">
        <f t="shared" si="1"/>
        <v>210.42</v>
      </c>
      <c r="O50" s="192">
        <f t="shared" si="2"/>
        <v>1170.3510000000001</v>
      </c>
      <c r="P50" s="192">
        <f t="shared" si="2"/>
        <v>645.92499999999995</v>
      </c>
      <c r="Q50" s="192">
        <f t="shared" si="3"/>
        <v>10724.875</v>
      </c>
      <c r="R50" s="192">
        <f t="shared" si="4"/>
        <v>11370.8</v>
      </c>
      <c r="S50" s="192">
        <f t="shared" si="5"/>
        <v>12198.737999999999</v>
      </c>
      <c r="U50" s="350"/>
    </row>
    <row r="51" spans="1:21" ht="24.95" customHeight="1">
      <c r="A51" s="187" t="s">
        <v>77</v>
      </c>
      <c r="B51" s="188" t="s">
        <v>381</v>
      </c>
      <c r="C51" s="189" t="s">
        <v>222</v>
      </c>
      <c r="D51" s="190">
        <v>24015</v>
      </c>
      <c r="E51" s="190">
        <v>669</v>
      </c>
      <c r="F51" s="190">
        <v>3926</v>
      </c>
      <c r="G51" s="190">
        <v>1261</v>
      </c>
      <c r="H51" s="190">
        <v>13385</v>
      </c>
      <c r="I51" s="190">
        <v>4774</v>
      </c>
      <c r="J51" s="190">
        <f t="shared" si="0"/>
        <v>18572</v>
      </c>
      <c r="K51" s="329">
        <v>4.4999999999999998E-2</v>
      </c>
      <c r="L51" s="329">
        <v>0.151</v>
      </c>
      <c r="M51" s="330">
        <v>0.12300000000000001</v>
      </c>
      <c r="N51" s="191">
        <f t="shared" si="1"/>
        <v>30.105</v>
      </c>
      <c r="O51" s="192">
        <f t="shared" si="2"/>
        <v>176.67</v>
      </c>
      <c r="P51" s="192">
        <f t="shared" si="2"/>
        <v>190.411</v>
      </c>
      <c r="Q51" s="192">
        <f t="shared" si="3"/>
        <v>2021.135</v>
      </c>
      <c r="R51" s="192">
        <f t="shared" si="4"/>
        <v>2211.5459999999998</v>
      </c>
      <c r="S51" s="192">
        <f t="shared" si="5"/>
        <v>2284.3560000000002</v>
      </c>
      <c r="U51" s="350"/>
    </row>
    <row r="52" spans="1:21" ht="24.95" customHeight="1">
      <c r="A52" s="187" t="s">
        <v>112</v>
      </c>
      <c r="B52" s="188" t="s">
        <v>17</v>
      </c>
      <c r="C52" s="189" t="s">
        <v>221</v>
      </c>
      <c r="D52" s="190">
        <v>55802</v>
      </c>
      <c r="E52" s="190">
        <v>2621</v>
      </c>
      <c r="F52" s="190">
        <v>14252</v>
      </c>
      <c r="G52" s="190">
        <v>2477</v>
      </c>
      <c r="H52" s="190">
        <v>30732</v>
      </c>
      <c r="I52" s="190">
        <v>5720</v>
      </c>
      <c r="J52" s="190">
        <f t="shared" si="0"/>
        <v>47461</v>
      </c>
      <c r="K52" s="329">
        <v>0.05</v>
      </c>
      <c r="L52" s="329">
        <v>0.19899999999999998</v>
      </c>
      <c r="M52" s="330">
        <v>0.153</v>
      </c>
      <c r="N52" s="191">
        <f t="shared" si="1"/>
        <v>131.05000000000001</v>
      </c>
      <c r="O52" s="192">
        <f t="shared" si="2"/>
        <v>712.6</v>
      </c>
      <c r="P52" s="192">
        <f t="shared" si="2"/>
        <v>492.92299999999994</v>
      </c>
      <c r="Q52" s="192">
        <f t="shared" si="3"/>
        <v>6115.6679999999997</v>
      </c>
      <c r="R52" s="192">
        <f t="shared" si="4"/>
        <v>6608.5909999999994</v>
      </c>
      <c r="S52" s="192">
        <f t="shared" si="5"/>
        <v>7261.5329999999994</v>
      </c>
      <c r="U52" s="350"/>
    </row>
    <row r="53" spans="1:21" ht="24.95" customHeight="1">
      <c r="A53" s="187" t="s">
        <v>78</v>
      </c>
      <c r="B53" s="188" t="s">
        <v>381</v>
      </c>
      <c r="C53" s="189" t="s">
        <v>222</v>
      </c>
      <c r="D53" s="190">
        <v>5156</v>
      </c>
      <c r="E53" s="190">
        <v>117</v>
      </c>
      <c r="F53" s="190">
        <v>728</v>
      </c>
      <c r="G53" s="190">
        <v>146</v>
      </c>
      <c r="H53" s="190">
        <v>3035</v>
      </c>
      <c r="I53" s="190">
        <v>1130</v>
      </c>
      <c r="J53" s="190">
        <f t="shared" si="0"/>
        <v>3909</v>
      </c>
      <c r="K53" s="329">
        <v>7.2999999999999995E-2</v>
      </c>
      <c r="L53" s="329">
        <v>0.20399999999999999</v>
      </c>
      <c r="M53" s="330">
        <v>0.17199999999999999</v>
      </c>
      <c r="N53" s="191">
        <f t="shared" si="1"/>
        <v>8.5409999999999986</v>
      </c>
      <c r="O53" s="192">
        <f t="shared" si="2"/>
        <v>53.143999999999998</v>
      </c>
      <c r="P53" s="192">
        <f t="shared" si="2"/>
        <v>29.783999999999999</v>
      </c>
      <c r="Q53" s="192">
        <f t="shared" si="3"/>
        <v>619.14</v>
      </c>
      <c r="R53" s="192">
        <f t="shared" si="4"/>
        <v>648.92399999999998</v>
      </c>
      <c r="S53" s="192">
        <f t="shared" si="5"/>
        <v>672.34799999999996</v>
      </c>
      <c r="U53" s="350"/>
    </row>
    <row r="54" spans="1:21" ht="24.95" customHeight="1">
      <c r="A54" s="187" t="s">
        <v>105</v>
      </c>
      <c r="B54" s="188" t="s">
        <v>491</v>
      </c>
      <c r="C54" s="189" t="s">
        <v>221</v>
      </c>
      <c r="D54" s="190">
        <v>184023</v>
      </c>
      <c r="E54" s="190">
        <v>5964</v>
      </c>
      <c r="F54" s="190">
        <v>32852</v>
      </c>
      <c r="G54" s="190">
        <v>7626</v>
      </c>
      <c r="H54" s="190">
        <v>107327</v>
      </c>
      <c r="I54" s="190">
        <v>30254</v>
      </c>
      <c r="J54" s="190">
        <f t="shared" si="0"/>
        <v>147805</v>
      </c>
      <c r="K54" s="329">
        <v>0.06</v>
      </c>
      <c r="L54" s="329">
        <v>0.14499999999999999</v>
      </c>
      <c r="M54" s="330">
        <v>0.121</v>
      </c>
      <c r="N54" s="191">
        <f t="shared" si="1"/>
        <v>357.84</v>
      </c>
      <c r="O54" s="192">
        <f t="shared" si="2"/>
        <v>1971.12</v>
      </c>
      <c r="P54" s="192">
        <f t="shared" si="2"/>
        <v>1105.77</v>
      </c>
      <c r="Q54" s="192">
        <f t="shared" si="3"/>
        <v>15562.414999999999</v>
      </c>
      <c r="R54" s="192">
        <f t="shared" si="4"/>
        <v>16668.184999999998</v>
      </c>
      <c r="S54" s="192">
        <f t="shared" si="5"/>
        <v>17884.404999999999</v>
      </c>
      <c r="U54" s="350"/>
    </row>
    <row r="55" spans="1:21" ht="24.95" customHeight="1">
      <c r="A55" s="187" t="s">
        <v>129</v>
      </c>
      <c r="B55" s="188" t="s">
        <v>428</v>
      </c>
      <c r="C55" s="189" t="s">
        <v>222</v>
      </c>
      <c r="D55" s="190">
        <v>44848</v>
      </c>
      <c r="E55" s="190">
        <v>1169</v>
      </c>
      <c r="F55" s="190">
        <v>6314</v>
      </c>
      <c r="G55" s="190">
        <v>4135</v>
      </c>
      <c r="H55" s="190">
        <v>24273</v>
      </c>
      <c r="I55" s="190">
        <v>8957</v>
      </c>
      <c r="J55" s="190">
        <f t="shared" si="0"/>
        <v>34722</v>
      </c>
      <c r="K55" s="329">
        <v>6.6000000000000003E-2</v>
      </c>
      <c r="L55" s="329">
        <v>0.20699999999999999</v>
      </c>
      <c r="M55" s="330">
        <v>0.17399999999999999</v>
      </c>
      <c r="N55" s="191">
        <f t="shared" si="1"/>
        <v>77.154000000000011</v>
      </c>
      <c r="O55" s="192">
        <f t="shared" si="2"/>
        <v>416.72400000000005</v>
      </c>
      <c r="P55" s="192">
        <f t="shared" si="2"/>
        <v>855.94499999999994</v>
      </c>
      <c r="Q55" s="192">
        <f t="shared" si="3"/>
        <v>5024.5109999999995</v>
      </c>
      <c r="R55" s="192">
        <f t="shared" si="4"/>
        <v>5880.4559999999992</v>
      </c>
      <c r="S55" s="192">
        <f t="shared" si="5"/>
        <v>6041.6279999999997</v>
      </c>
      <c r="U55" s="350"/>
    </row>
    <row r="56" spans="1:21" ht="24.95" customHeight="1">
      <c r="A56" s="187" t="s">
        <v>43</v>
      </c>
      <c r="B56" s="188" t="s">
        <v>469</v>
      </c>
      <c r="C56" s="189" t="s">
        <v>221</v>
      </c>
      <c r="D56" s="190">
        <v>212401</v>
      </c>
      <c r="E56" s="190">
        <v>7537</v>
      </c>
      <c r="F56" s="190">
        <v>43060</v>
      </c>
      <c r="G56" s="190">
        <v>8812</v>
      </c>
      <c r="H56" s="190">
        <v>123575</v>
      </c>
      <c r="I56" s="190">
        <v>29417</v>
      </c>
      <c r="J56" s="190">
        <f t="shared" si="0"/>
        <v>175447</v>
      </c>
      <c r="K56" s="329">
        <v>6.0999999999999999E-2</v>
      </c>
      <c r="L56" s="329">
        <v>0.16800000000000001</v>
      </c>
      <c r="M56" s="330">
        <v>0.13600000000000001</v>
      </c>
      <c r="N56" s="191">
        <f t="shared" si="1"/>
        <v>459.75700000000001</v>
      </c>
      <c r="O56" s="192">
        <f t="shared" si="2"/>
        <v>2626.66</v>
      </c>
      <c r="P56" s="192">
        <f t="shared" si="2"/>
        <v>1480.4160000000002</v>
      </c>
      <c r="Q56" s="192">
        <f t="shared" si="3"/>
        <v>20760.600000000002</v>
      </c>
      <c r="R56" s="192">
        <f t="shared" si="4"/>
        <v>22241.016000000003</v>
      </c>
      <c r="S56" s="192">
        <f t="shared" si="5"/>
        <v>23860.792000000001</v>
      </c>
      <c r="U56" s="350"/>
    </row>
    <row r="57" spans="1:21" ht="24.95" customHeight="1">
      <c r="A57" s="187" t="s">
        <v>79</v>
      </c>
      <c r="B57" s="188" t="s">
        <v>381</v>
      </c>
      <c r="C57" s="189" t="s">
        <v>221</v>
      </c>
      <c r="D57" s="190">
        <v>10194</v>
      </c>
      <c r="E57" s="190">
        <v>306</v>
      </c>
      <c r="F57" s="190">
        <v>1671</v>
      </c>
      <c r="G57" s="190">
        <v>301</v>
      </c>
      <c r="H57" s="190">
        <v>5652</v>
      </c>
      <c r="I57" s="190">
        <v>2264</v>
      </c>
      <c r="J57" s="190">
        <f t="shared" si="0"/>
        <v>7624</v>
      </c>
      <c r="K57" s="329">
        <v>6.8000000000000005E-2</v>
      </c>
      <c r="L57" s="329">
        <v>0.18600000000000003</v>
      </c>
      <c r="M57" s="330">
        <v>0.158</v>
      </c>
      <c r="N57" s="191">
        <f t="shared" si="1"/>
        <v>20.808</v>
      </c>
      <c r="O57" s="192">
        <f t="shared" si="2"/>
        <v>113.62800000000001</v>
      </c>
      <c r="P57" s="192">
        <f t="shared" si="2"/>
        <v>55.986000000000011</v>
      </c>
      <c r="Q57" s="192">
        <f t="shared" si="3"/>
        <v>1051.2720000000002</v>
      </c>
      <c r="R57" s="192">
        <f t="shared" si="4"/>
        <v>1107.2580000000003</v>
      </c>
      <c r="S57" s="192">
        <f t="shared" si="5"/>
        <v>1204.5920000000001</v>
      </c>
      <c r="U57" s="350"/>
    </row>
    <row r="58" spans="1:21" ht="24.95" customHeight="1">
      <c r="A58" s="187" t="s">
        <v>113</v>
      </c>
      <c r="B58" s="188" t="s">
        <v>17</v>
      </c>
      <c r="C58" s="189" t="s">
        <v>222</v>
      </c>
      <c r="D58" s="190">
        <v>62429</v>
      </c>
      <c r="E58" s="190">
        <v>2402</v>
      </c>
      <c r="F58" s="190">
        <v>12796</v>
      </c>
      <c r="G58" s="190">
        <v>2465</v>
      </c>
      <c r="H58" s="190">
        <v>34143</v>
      </c>
      <c r="I58" s="190">
        <v>10623</v>
      </c>
      <c r="J58" s="190">
        <f t="shared" si="0"/>
        <v>49404</v>
      </c>
      <c r="K58" s="329">
        <v>6.6000000000000003E-2</v>
      </c>
      <c r="L58" s="329">
        <v>0.20100000000000001</v>
      </c>
      <c r="M58" s="330">
        <v>0.16200000000000001</v>
      </c>
      <c r="N58" s="191">
        <f t="shared" si="1"/>
        <v>158.53200000000001</v>
      </c>
      <c r="O58" s="192">
        <f t="shared" si="2"/>
        <v>844.53600000000006</v>
      </c>
      <c r="P58" s="192">
        <f t="shared" si="2"/>
        <v>495.46500000000003</v>
      </c>
      <c r="Q58" s="192">
        <f t="shared" si="3"/>
        <v>6862.7430000000004</v>
      </c>
      <c r="R58" s="192">
        <f t="shared" si="4"/>
        <v>7358.2080000000005</v>
      </c>
      <c r="S58" s="192">
        <f t="shared" si="5"/>
        <v>8003.4480000000003</v>
      </c>
      <c r="U58" s="350"/>
    </row>
    <row r="59" spans="1:21" ht="24.95" customHeight="1">
      <c r="A59" s="187" t="s">
        <v>93</v>
      </c>
      <c r="B59" s="188" t="s">
        <v>15</v>
      </c>
      <c r="C59" s="189" t="s">
        <v>222</v>
      </c>
      <c r="D59" s="190">
        <v>55963</v>
      </c>
      <c r="E59" s="190">
        <v>1907</v>
      </c>
      <c r="F59" s="190">
        <v>10221</v>
      </c>
      <c r="G59" s="190">
        <v>2098</v>
      </c>
      <c r="H59" s="190">
        <v>30187</v>
      </c>
      <c r="I59" s="190">
        <v>11550</v>
      </c>
      <c r="J59" s="190">
        <f t="shared" si="0"/>
        <v>42506</v>
      </c>
      <c r="K59" s="329">
        <v>5.0999999999999997E-2</v>
      </c>
      <c r="L59" s="329">
        <v>0.17699999999999999</v>
      </c>
      <c r="M59" s="330">
        <v>0.14199999999999999</v>
      </c>
      <c r="N59" s="191">
        <f t="shared" si="1"/>
        <v>97.256999999999991</v>
      </c>
      <c r="O59" s="192">
        <f t="shared" si="2"/>
        <v>521.27099999999996</v>
      </c>
      <c r="P59" s="192">
        <f t="shared" si="2"/>
        <v>371.346</v>
      </c>
      <c r="Q59" s="192">
        <f t="shared" si="3"/>
        <v>5343.0990000000002</v>
      </c>
      <c r="R59" s="192">
        <f t="shared" si="4"/>
        <v>5714.4449999999997</v>
      </c>
      <c r="S59" s="192">
        <f t="shared" si="5"/>
        <v>6035.8519999999999</v>
      </c>
      <c r="U59" s="350"/>
    </row>
    <row r="60" spans="1:21" ht="24.95" customHeight="1">
      <c r="A60" s="187" t="s">
        <v>106</v>
      </c>
      <c r="B60" s="188" t="s">
        <v>491</v>
      </c>
      <c r="C60" s="189" t="s">
        <v>221</v>
      </c>
      <c r="D60" s="190">
        <v>88151</v>
      </c>
      <c r="E60" s="190">
        <v>2607</v>
      </c>
      <c r="F60" s="190">
        <v>14840</v>
      </c>
      <c r="G60" s="190">
        <v>3260</v>
      </c>
      <c r="H60" s="190">
        <v>51260</v>
      </c>
      <c r="I60" s="190">
        <v>16184</v>
      </c>
      <c r="J60" s="190">
        <f t="shared" si="0"/>
        <v>69360</v>
      </c>
      <c r="K60" s="329">
        <v>5.2999999999999999E-2</v>
      </c>
      <c r="L60" s="329">
        <v>0.14899999999999999</v>
      </c>
      <c r="M60" s="330">
        <v>0.124</v>
      </c>
      <c r="N60" s="191">
        <f t="shared" si="1"/>
        <v>138.17099999999999</v>
      </c>
      <c r="O60" s="192">
        <f t="shared" si="2"/>
        <v>786.52</v>
      </c>
      <c r="P60" s="192">
        <f t="shared" si="2"/>
        <v>485.73999999999995</v>
      </c>
      <c r="Q60" s="192">
        <f t="shared" si="3"/>
        <v>7637.74</v>
      </c>
      <c r="R60" s="192">
        <f t="shared" si="4"/>
        <v>8123.48</v>
      </c>
      <c r="S60" s="192">
        <f t="shared" si="5"/>
        <v>8600.64</v>
      </c>
      <c r="U60" s="350"/>
    </row>
    <row r="61" spans="1:21" ht="24.95" customHeight="1">
      <c r="A61" s="187" t="s">
        <v>130</v>
      </c>
      <c r="B61" s="188" t="s">
        <v>428</v>
      </c>
      <c r="C61" s="189" t="s">
        <v>222</v>
      </c>
      <c r="D61" s="190">
        <v>36897</v>
      </c>
      <c r="E61" s="190">
        <v>1150</v>
      </c>
      <c r="F61" s="190">
        <v>5605</v>
      </c>
      <c r="G61" s="190">
        <v>1262</v>
      </c>
      <c r="H61" s="190">
        <v>18099</v>
      </c>
      <c r="I61" s="190">
        <v>10781</v>
      </c>
      <c r="J61" s="190">
        <f t="shared" si="0"/>
        <v>24966</v>
      </c>
      <c r="K61" s="329">
        <v>7.9000000000000001E-2</v>
      </c>
      <c r="L61" s="329">
        <v>0.214</v>
      </c>
      <c r="M61" s="330">
        <v>0.17899999999999999</v>
      </c>
      <c r="N61" s="191">
        <f t="shared" si="1"/>
        <v>90.85</v>
      </c>
      <c r="O61" s="192">
        <f t="shared" si="2"/>
        <v>442.79500000000002</v>
      </c>
      <c r="P61" s="192">
        <f t="shared" si="2"/>
        <v>270.06799999999998</v>
      </c>
      <c r="Q61" s="192">
        <f t="shared" si="3"/>
        <v>3873.1860000000001</v>
      </c>
      <c r="R61" s="192">
        <f t="shared" si="4"/>
        <v>4143.2539999999999</v>
      </c>
      <c r="S61" s="192">
        <f t="shared" si="5"/>
        <v>4468.9139999999998</v>
      </c>
      <c r="U61" s="350"/>
    </row>
    <row r="62" spans="1:21" ht="24.95" customHeight="1">
      <c r="A62" s="187" t="s">
        <v>131</v>
      </c>
      <c r="B62" s="188" t="s">
        <v>428</v>
      </c>
      <c r="C62" s="189" t="s">
        <v>221</v>
      </c>
      <c r="D62" s="190">
        <v>22843</v>
      </c>
      <c r="E62" s="190">
        <v>641</v>
      </c>
      <c r="F62" s="190">
        <v>3317</v>
      </c>
      <c r="G62" s="190">
        <v>1385</v>
      </c>
      <c r="H62" s="190">
        <v>12133</v>
      </c>
      <c r="I62" s="190">
        <v>5367</v>
      </c>
      <c r="J62" s="190">
        <f t="shared" si="0"/>
        <v>16835</v>
      </c>
      <c r="K62" s="329">
        <v>5.7000000000000002E-2</v>
      </c>
      <c r="L62" s="329">
        <v>0.14699999999999999</v>
      </c>
      <c r="M62" s="330">
        <v>0.125</v>
      </c>
      <c r="N62" s="191">
        <f t="shared" si="1"/>
        <v>36.536999999999999</v>
      </c>
      <c r="O62" s="192">
        <f t="shared" si="2"/>
        <v>189.06900000000002</v>
      </c>
      <c r="P62" s="192">
        <f t="shared" si="2"/>
        <v>203.595</v>
      </c>
      <c r="Q62" s="192">
        <f t="shared" si="3"/>
        <v>1783.5509999999999</v>
      </c>
      <c r="R62" s="192">
        <f t="shared" si="4"/>
        <v>1987.146</v>
      </c>
      <c r="S62" s="192">
        <f t="shared" si="5"/>
        <v>2104.375</v>
      </c>
      <c r="U62" s="350"/>
    </row>
    <row r="63" spans="1:21" ht="24.95" customHeight="1">
      <c r="A63" s="187" t="s">
        <v>80</v>
      </c>
      <c r="B63" s="188" t="s">
        <v>381</v>
      </c>
      <c r="C63" s="189" t="s">
        <v>222</v>
      </c>
      <c r="D63" s="190">
        <v>23039</v>
      </c>
      <c r="E63" s="190">
        <v>790</v>
      </c>
      <c r="F63" s="190">
        <v>3828</v>
      </c>
      <c r="G63" s="190">
        <v>732</v>
      </c>
      <c r="H63" s="190">
        <v>12255</v>
      </c>
      <c r="I63" s="190">
        <v>5434</v>
      </c>
      <c r="J63" s="190">
        <f t="shared" si="0"/>
        <v>16815</v>
      </c>
      <c r="K63" s="329">
        <v>5.4000000000000006E-2</v>
      </c>
      <c r="L63" s="329">
        <v>0.14300000000000002</v>
      </c>
      <c r="M63" s="330">
        <v>0.12</v>
      </c>
      <c r="N63" s="191">
        <f t="shared" si="1"/>
        <v>42.660000000000004</v>
      </c>
      <c r="O63" s="192">
        <f t="shared" si="2"/>
        <v>206.71200000000002</v>
      </c>
      <c r="P63" s="192">
        <f t="shared" si="2"/>
        <v>104.67600000000002</v>
      </c>
      <c r="Q63" s="192">
        <f t="shared" si="3"/>
        <v>1752.4650000000001</v>
      </c>
      <c r="R63" s="192">
        <f t="shared" si="4"/>
        <v>1857.1410000000001</v>
      </c>
      <c r="S63" s="192">
        <f t="shared" si="5"/>
        <v>2017.8</v>
      </c>
      <c r="U63" s="350"/>
    </row>
    <row r="64" spans="1:21" ht="24.95" customHeight="1">
      <c r="A64" s="187" t="s">
        <v>132</v>
      </c>
      <c r="B64" s="188" t="s">
        <v>428</v>
      </c>
      <c r="C64" s="189" t="s">
        <v>222</v>
      </c>
      <c r="D64" s="190">
        <v>46905</v>
      </c>
      <c r="E64" s="190">
        <v>1349</v>
      </c>
      <c r="F64" s="190">
        <v>7669</v>
      </c>
      <c r="G64" s="190">
        <v>1644</v>
      </c>
      <c r="H64" s="190">
        <v>26163</v>
      </c>
      <c r="I64" s="190">
        <v>10080</v>
      </c>
      <c r="J64" s="190">
        <f t="shared" si="0"/>
        <v>35476</v>
      </c>
      <c r="K64" s="329">
        <v>4.9000000000000002E-2</v>
      </c>
      <c r="L64" s="329">
        <v>0.17</v>
      </c>
      <c r="M64" s="330">
        <v>0.13800000000000001</v>
      </c>
      <c r="N64" s="191">
        <f t="shared" si="1"/>
        <v>66.100999999999999</v>
      </c>
      <c r="O64" s="192">
        <f t="shared" si="2"/>
        <v>375.78100000000001</v>
      </c>
      <c r="P64" s="192">
        <f t="shared" si="2"/>
        <v>279.48</v>
      </c>
      <c r="Q64" s="192">
        <f t="shared" si="3"/>
        <v>4447.71</v>
      </c>
      <c r="R64" s="192">
        <f t="shared" si="4"/>
        <v>4727.1900000000005</v>
      </c>
      <c r="S64" s="192">
        <f t="shared" si="5"/>
        <v>4895.6880000000001</v>
      </c>
      <c r="U64" s="350"/>
    </row>
    <row r="65" spans="1:21" ht="24.95" customHeight="1">
      <c r="A65" s="187" t="s">
        <v>100</v>
      </c>
      <c r="B65" s="188" t="s">
        <v>490</v>
      </c>
      <c r="C65" s="189" t="s">
        <v>221</v>
      </c>
      <c r="D65" s="190">
        <v>1131342</v>
      </c>
      <c r="E65" s="190">
        <v>44350</v>
      </c>
      <c r="F65" s="190">
        <v>219366</v>
      </c>
      <c r="G65" s="190">
        <v>41366</v>
      </c>
      <c r="H65" s="190">
        <v>690724</v>
      </c>
      <c r="I65" s="190">
        <v>135536</v>
      </c>
      <c r="J65" s="190">
        <f t="shared" si="0"/>
        <v>951456</v>
      </c>
      <c r="K65" s="329">
        <v>5.5E-2</v>
      </c>
      <c r="L65" s="329">
        <v>0.158</v>
      </c>
      <c r="M65" s="330">
        <v>0.13</v>
      </c>
      <c r="N65" s="191">
        <f t="shared" si="1"/>
        <v>2439.25</v>
      </c>
      <c r="O65" s="192">
        <f t="shared" si="2"/>
        <v>12065.13</v>
      </c>
      <c r="P65" s="192">
        <f t="shared" si="2"/>
        <v>6535.8280000000004</v>
      </c>
      <c r="Q65" s="192">
        <f t="shared" si="3"/>
        <v>109134.39200000001</v>
      </c>
      <c r="R65" s="192">
        <f t="shared" si="4"/>
        <v>115670.22</v>
      </c>
      <c r="S65" s="192">
        <f t="shared" si="5"/>
        <v>123689.28</v>
      </c>
      <c r="U65" s="350"/>
    </row>
    <row r="66" spans="1:21" ht="24.95" customHeight="1">
      <c r="A66" s="187" t="s">
        <v>133</v>
      </c>
      <c r="B66" s="188" t="s">
        <v>428</v>
      </c>
      <c r="C66" s="189" t="s">
        <v>222</v>
      </c>
      <c r="D66" s="190">
        <v>15258</v>
      </c>
      <c r="E66" s="190">
        <v>456</v>
      </c>
      <c r="F66" s="190">
        <v>2285</v>
      </c>
      <c r="G66" s="190">
        <v>524</v>
      </c>
      <c r="H66" s="190">
        <v>8315</v>
      </c>
      <c r="I66" s="190">
        <v>3678</v>
      </c>
      <c r="J66" s="190">
        <f t="shared" si="0"/>
        <v>11124</v>
      </c>
      <c r="K66" s="329">
        <v>6.4000000000000001E-2</v>
      </c>
      <c r="L66" s="329">
        <v>0.17100000000000001</v>
      </c>
      <c r="M66" s="330">
        <v>0.14499999999999999</v>
      </c>
      <c r="N66" s="191">
        <f t="shared" si="1"/>
        <v>29.184000000000001</v>
      </c>
      <c r="O66" s="192">
        <f t="shared" si="2"/>
        <v>146.24</v>
      </c>
      <c r="P66" s="192">
        <f t="shared" si="2"/>
        <v>89.604000000000013</v>
      </c>
      <c r="Q66" s="192">
        <f t="shared" si="3"/>
        <v>1421.865</v>
      </c>
      <c r="R66" s="192">
        <f t="shared" si="4"/>
        <v>1511.4690000000001</v>
      </c>
      <c r="S66" s="192">
        <f t="shared" si="5"/>
        <v>1612.9799999999998</v>
      </c>
      <c r="U66" s="350"/>
    </row>
    <row r="67" spans="1:21" ht="24.95" customHeight="1">
      <c r="A67" s="187" t="s">
        <v>114</v>
      </c>
      <c r="B67" s="188" t="s">
        <v>17</v>
      </c>
      <c r="C67" s="189" t="s">
        <v>222</v>
      </c>
      <c r="D67" s="190">
        <v>27712</v>
      </c>
      <c r="E67" s="190">
        <v>881</v>
      </c>
      <c r="F67" s="190">
        <v>4915</v>
      </c>
      <c r="G67" s="190">
        <v>1193</v>
      </c>
      <c r="H67" s="190">
        <v>14790</v>
      </c>
      <c r="I67" s="190">
        <v>5933</v>
      </c>
      <c r="J67" s="190">
        <f t="shared" si="0"/>
        <v>20898</v>
      </c>
      <c r="K67" s="329">
        <v>6.5000000000000002E-2</v>
      </c>
      <c r="L67" s="329">
        <v>0.18899999999999997</v>
      </c>
      <c r="M67" s="330">
        <v>0.154</v>
      </c>
      <c r="N67" s="191">
        <f t="shared" si="1"/>
        <v>57.265000000000001</v>
      </c>
      <c r="O67" s="192">
        <f t="shared" si="2"/>
        <v>319.47500000000002</v>
      </c>
      <c r="P67" s="192">
        <f t="shared" si="2"/>
        <v>225.47699999999998</v>
      </c>
      <c r="Q67" s="192">
        <f t="shared" si="3"/>
        <v>2795.3099999999995</v>
      </c>
      <c r="R67" s="192">
        <f t="shared" si="4"/>
        <v>3020.7869999999994</v>
      </c>
      <c r="S67" s="192">
        <f t="shared" si="5"/>
        <v>3218.2919999999999</v>
      </c>
      <c r="U67" s="350"/>
    </row>
    <row r="68" spans="1:21" ht="24.95" customHeight="1">
      <c r="A68" s="187" t="s">
        <v>115</v>
      </c>
      <c r="B68" s="188" t="s">
        <v>17</v>
      </c>
      <c r="C68" s="189" t="s">
        <v>222</v>
      </c>
      <c r="D68" s="190">
        <v>102950</v>
      </c>
      <c r="E68" s="190">
        <v>3682</v>
      </c>
      <c r="F68" s="190">
        <v>17344</v>
      </c>
      <c r="G68" s="190">
        <v>3506</v>
      </c>
      <c r="H68" s="190">
        <v>50766</v>
      </c>
      <c r="I68" s="190">
        <v>27652</v>
      </c>
      <c r="J68" s="190">
        <f t="shared" si="0"/>
        <v>71616</v>
      </c>
      <c r="K68" s="329">
        <v>0.06</v>
      </c>
      <c r="L68" s="329">
        <v>0.14199999999999999</v>
      </c>
      <c r="M68" s="330">
        <v>0.11900000000000001</v>
      </c>
      <c r="N68" s="191">
        <f t="shared" si="1"/>
        <v>220.92</v>
      </c>
      <c r="O68" s="192">
        <f t="shared" si="2"/>
        <v>1040.6399999999999</v>
      </c>
      <c r="P68" s="192">
        <f t="shared" si="2"/>
        <v>497.85199999999998</v>
      </c>
      <c r="Q68" s="192">
        <f t="shared" si="3"/>
        <v>7208.771999999999</v>
      </c>
      <c r="R68" s="192">
        <f t="shared" si="4"/>
        <v>7706.6239999999989</v>
      </c>
      <c r="S68" s="192">
        <f t="shared" si="5"/>
        <v>8522.3040000000001</v>
      </c>
      <c r="U68" s="350"/>
    </row>
    <row r="69" spans="1:21" ht="24.95" customHeight="1">
      <c r="A69" s="187" t="s">
        <v>94</v>
      </c>
      <c r="B69" s="188" t="s">
        <v>381</v>
      </c>
      <c r="C69" s="189" t="s">
        <v>221</v>
      </c>
      <c r="D69" s="190">
        <v>95923</v>
      </c>
      <c r="E69" s="190">
        <v>3290</v>
      </c>
      <c r="F69" s="190">
        <v>16585</v>
      </c>
      <c r="G69" s="190">
        <v>3674</v>
      </c>
      <c r="H69" s="190">
        <v>53686</v>
      </c>
      <c r="I69" s="190">
        <v>18688</v>
      </c>
      <c r="J69" s="190">
        <f t="shared" si="0"/>
        <v>73945</v>
      </c>
      <c r="K69" s="329">
        <v>5.2000000000000005E-2</v>
      </c>
      <c r="L69" s="329">
        <v>0.14699999999999999</v>
      </c>
      <c r="M69" s="330">
        <v>0.121</v>
      </c>
      <c r="N69" s="191">
        <f t="shared" si="1"/>
        <v>171.08</v>
      </c>
      <c r="O69" s="192">
        <f t="shared" si="2"/>
        <v>862.42000000000007</v>
      </c>
      <c r="P69" s="192">
        <f t="shared" si="2"/>
        <v>540.07799999999997</v>
      </c>
      <c r="Q69" s="192">
        <f t="shared" si="3"/>
        <v>7891.8419999999996</v>
      </c>
      <c r="R69" s="192">
        <f t="shared" si="4"/>
        <v>8431.92</v>
      </c>
      <c r="S69" s="192">
        <f t="shared" si="5"/>
        <v>8947.3449999999993</v>
      </c>
      <c r="U69" s="350"/>
    </row>
    <row r="70" spans="1:21" ht="24.95" customHeight="1">
      <c r="A70" s="187" t="s">
        <v>66</v>
      </c>
      <c r="B70" s="188" t="s">
        <v>381</v>
      </c>
      <c r="C70" s="189" t="s">
        <v>221</v>
      </c>
      <c r="D70" s="190">
        <v>239272</v>
      </c>
      <c r="E70" s="190">
        <v>7018</v>
      </c>
      <c r="F70" s="190">
        <v>36480</v>
      </c>
      <c r="G70" s="190">
        <v>12412</v>
      </c>
      <c r="H70" s="190">
        <v>140361</v>
      </c>
      <c r="I70" s="190">
        <v>43001</v>
      </c>
      <c r="J70" s="190">
        <f t="shared" ref="J70:J105" si="6">SUM(F70:H70)</f>
        <v>189253</v>
      </c>
      <c r="K70" s="329">
        <v>5.2000000000000005E-2</v>
      </c>
      <c r="L70" s="329">
        <v>0.13800000000000001</v>
      </c>
      <c r="M70" s="330">
        <v>0.11699999999999999</v>
      </c>
      <c r="N70" s="191">
        <f t="shared" si="1"/>
        <v>364.93600000000004</v>
      </c>
      <c r="O70" s="192">
        <f t="shared" si="2"/>
        <v>1896.9600000000003</v>
      </c>
      <c r="P70" s="192">
        <f t="shared" si="2"/>
        <v>1712.8560000000002</v>
      </c>
      <c r="Q70" s="192">
        <f t="shared" si="3"/>
        <v>19369.818000000003</v>
      </c>
      <c r="R70" s="192">
        <f t="shared" si="4"/>
        <v>21082.674000000003</v>
      </c>
      <c r="S70" s="192">
        <f t="shared" si="5"/>
        <v>22142.600999999999</v>
      </c>
      <c r="U70" s="350"/>
    </row>
    <row r="71" spans="1:21" ht="24.95" customHeight="1">
      <c r="A71" s="187" t="s">
        <v>81</v>
      </c>
      <c r="B71" s="188" t="s">
        <v>381</v>
      </c>
      <c r="C71" s="189" t="s">
        <v>222</v>
      </c>
      <c r="D71" s="190">
        <v>20258</v>
      </c>
      <c r="E71" s="190">
        <v>573</v>
      </c>
      <c r="F71" s="190">
        <v>3107</v>
      </c>
      <c r="G71" s="190">
        <v>595</v>
      </c>
      <c r="H71" s="190">
        <v>11103</v>
      </c>
      <c r="I71" s="190">
        <v>4880</v>
      </c>
      <c r="J71" s="190">
        <f t="shared" si="6"/>
        <v>14805</v>
      </c>
      <c r="K71" s="329">
        <v>5.0999999999999997E-2</v>
      </c>
      <c r="L71" s="329">
        <v>0.14800000000000002</v>
      </c>
      <c r="M71" s="330">
        <v>0.125</v>
      </c>
      <c r="N71" s="191">
        <f t="shared" ref="N71:N105" si="7">E71*K71</f>
        <v>29.222999999999999</v>
      </c>
      <c r="O71" s="192">
        <f t="shared" ref="O71:P105" si="8">F71*K71</f>
        <v>158.45699999999999</v>
      </c>
      <c r="P71" s="192">
        <f t="shared" si="8"/>
        <v>88.060000000000016</v>
      </c>
      <c r="Q71" s="192">
        <f t="shared" ref="Q71:Q105" si="9">H71*L71</f>
        <v>1643.2440000000001</v>
      </c>
      <c r="R71" s="192">
        <f t="shared" ref="R71:R105" si="10">SUM(P71:Q71)</f>
        <v>1731.3040000000001</v>
      </c>
      <c r="S71" s="192">
        <f t="shared" ref="S71:S105" si="11">J71*M71</f>
        <v>1850.625</v>
      </c>
      <c r="U71" s="350"/>
    </row>
    <row r="72" spans="1:21" ht="24.95" customHeight="1">
      <c r="A72" s="187" t="s">
        <v>67</v>
      </c>
      <c r="B72" s="188" t="s">
        <v>381</v>
      </c>
      <c r="C72" s="189" t="s">
        <v>221</v>
      </c>
      <c r="D72" s="190">
        <v>204357</v>
      </c>
      <c r="E72" s="190">
        <v>11261</v>
      </c>
      <c r="F72" s="190">
        <v>51761</v>
      </c>
      <c r="G72" s="190">
        <v>13121</v>
      </c>
      <c r="H72" s="190">
        <v>108048</v>
      </c>
      <c r="I72" s="190">
        <v>20166</v>
      </c>
      <c r="J72" s="190">
        <f t="shared" si="6"/>
        <v>172930</v>
      </c>
      <c r="K72" s="329">
        <v>3.5000000000000003E-2</v>
      </c>
      <c r="L72" s="329">
        <v>0.127</v>
      </c>
      <c r="M72" s="330">
        <v>9.9000000000000005E-2</v>
      </c>
      <c r="N72" s="191">
        <f t="shared" si="7"/>
        <v>394.13500000000005</v>
      </c>
      <c r="O72" s="192">
        <f t="shared" si="8"/>
        <v>1811.6350000000002</v>
      </c>
      <c r="P72" s="192">
        <f t="shared" si="8"/>
        <v>1666.367</v>
      </c>
      <c r="Q72" s="192">
        <f t="shared" si="9"/>
        <v>13722.096</v>
      </c>
      <c r="R72" s="192">
        <f t="shared" si="10"/>
        <v>15388.463</v>
      </c>
      <c r="S72" s="192">
        <f t="shared" si="11"/>
        <v>17120.07</v>
      </c>
      <c r="U72" s="350"/>
    </row>
    <row r="73" spans="1:21" ht="24.95" customHeight="1">
      <c r="A73" s="187" t="s">
        <v>53</v>
      </c>
      <c r="B73" s="188" t="s">
        <v>490</v>
      </c>
      <c r="C73" s="189" t="s">
        <v>221</v>
      </c>
      <c r="D73" s="190">
        <v>148610</v>
      </c>
      <c r="E73" s="190">
        <v>3585</v>
      </c>
      <c r="F73" s="190">
        <v>22656</v>
      </c>
      <c r="G73" s="190">
        <v>12533</v>
      </c>
      <c r="H73" s="190">
        <v>87278</v>
      </c>
      <c r="I73" s="190">
        <v>22558</v>
      </c>
      <c r="J73" s="190">
        <f t="shared" si="6"/>
        <v>122467</v>
      </c>
      <c r="K73" s="329">
        <v>5.2000000000000005E-2</v>
      </c>
      <c r="L73" s="329">
        <v>0.122</v>
      </c>
      <c r="M73" s="330">
        <v>0.10400000000000001</v>
      </c>
      <c r="N73" s="191">
        <f t="shared" si="7"/>
        <v>186.42000000000002</v>
      </c>
      <c r="O73" s="192">
        <f t="shared" si="8"/>
        <v>1178.1120000000001</v>
      </c>
      <c r="P73" s="192">
        <f t="shared" si="8"/>
        <v>1529.0260000000001</v>
      </c>
      <c r="Q73" s="192">
        <f t="shared" si="9"/>
        <v>10647.915999999999</v>
      </c>
      <c r="R73" s="192">
        <f t="shared" si="10"/>
        <v>12176.941999999999</v>
      </c>
      <c r="S73" s="192">
        <f t="shared" si="11"/>
        <v>12736.568000000001</v>
      </c>
      <c r="U73" s="350"/>
    </row>
    <row r="74" spans="1:21" ht="24.95" customHeight="1">
      <c r="A74" s="187" t="s">
        <v>82</v>
      </c>
      <c r="B74" s="188" t="s">
        <v>381</v>
      </c>
      <c r="C74" s="189" t="s">
        <v>221</v>
      </c>
      <c r="D74" s="190">
        <v>13283</v>
      </c>
      <c r="E74" s="190">
        <v>288</v>
      </c>
      <c r="F74" s="190">
        <v>1678</v>
      </c>
      <c r="G74" s="190">
        <v>331</v>
      </c>
      <c r="H74" s="190">
        <v>7059</v>
      </c>
      <c r="I74" s="190">
        <v>3927</v>
      </c>
      <c r="J74" s="190">
        <f t="shared" si="6"/>
        <v>9068</v>
      </c>
      <c r="K74" s="329">
        <v>6.8000000000000005E-2</v>
      </c>
      <c r="L74" s="329">
        <v>0.152</v>
      </c>
      <c r="M74" s="330">
        <v>0.13200000000000001</v>
      </c>
      <c r="N74" s="191">
        <f t="shared" si="7"/>
        <v>19.584000000000003</v>
      </c>
      <c r="O74" s="192">
        <f t="shared" si="8"/>
        <v>114.10400000000001</v>
      </c>
      <c r="P74" s="192">
        <f t="shared" si="8"/>
        <v>50.311999999999998</v>
      </c>
      <c r="Q74" s="192">
        <f t="shared" si="9"/>
        <v>1072.9680000000001</v>
      </c>
      <c r="R74" s="192">
        <f t="shared" si="10"/>
        <v>1123.28</v>
      </c>
      <c r="S74" s="192">
        <f t="shared" si="11"/>
        <v>1196.9760000000001</v>
      </c>
      <c r="U74" s="350"/>
    </row>
    <row r="75" spans="1:21" ht="24.95" customHeight="1">
      <c r="A75" s="187" t="s">
        <v>83</v>
      </c>
      <c r="B75" s="188" t="s">
        <v>381</v>
      </c>
      <c r="C75" s="189" t="s">
        <v>222</v>
      </c>
      <c r="D75" s="190">
        <v>39685</v>
      </c>
      <c r="E75" s="190">
        <v>1285</v>
      </c>
      <c r="F75" s="190">
        <v>7713</v>
      </c>
      <c r="G75" s="190">
        <v>2401</v>
      </c>
      <c r="H75" s="190">
        <v>21833</v>
      </c>
      <c r="I75" s="190">
        <v>6453</v>
      </c>
      <c r="J75" s="190">
        <f t="shared" si="6"/>
        <v>31947</v>
      </c>
      <c r="K75" s="329">
        <v>4.9000000000000002E-2</v>
      </c>
      <c r="L75" s="329">
        <v>0.14199999999999999</v>
      </c>
      <c r="M75" s="330">
        <v>0.11599999999999999</v>
      </c>
      <c r="N75" s="191">
        <f t="shared" si="7"/>
        <v>62.965000000000003</v>
      </c>
      <c r="O75" s="192">
        <f t="shared" si="8"/>
        <v>377.93700000000001</v>
      </c>
      <c r="P75" s="192">
        <f t="shared" si="8"/>
        <v>340.94199999999995</v>
      </c>
      <c r="Q75" s="192">
        <f t="shared" si="9"/>
        <v>3100.2859999999996</v>
      </c>
      <c r="R75" s="192">
        <f t="shared" si="10"/>
        <v>3441.2279999999996</v>
      </c>
      <c r="S75" s="192">
        <f t="shared" si="11"/>
        <v>3705.8519999999999</v>
      </c>
      <c r="U75" s="350"/>
    </row>
    <row r="76" spans="1:21" ht="24.95" customHeight="1">
      <c r="A76" s="187" t="s">
        <v>68</v>
      </c>
      <c r="B76" s="188" t="s">
        <v>381</v>
      </c>
      <c r="C76" s="189" t="s">
        <v>221</v>
      </c>
      <c r="D76" s="190">
        <v>64578</v>
      </c>
      <c r="E76" s="190">
        <v>1979</v>
      </c>
      <c r="F76" s="190">
        <v>10975</v>
      </c>
      <c r="G76" s="190">
        <v>2543</v>
      </c>
      <c r="H76" s="190">
        <v>36909</v>
      </c>
      <c r="I76" s="190">
        <v>12172</v>
      </c>
      <c r="J76" s="190">
        <f t="shared" si="6"/>
        <v>50427</v>
      </c>
      <c r="K76" s="329">
        <v>5.4000000000000006E-2</v>
      </c>
      <c r="L76" s="329">
        <v>0.157</v>
      </c>
      <c r="M76" s="330">
        <v>0.128</v>
      </c>
      <c r="N76" s="191">
        <f t="shared" si="7"/>
        <v>106.86600000000001</v>
      </c>
      <c r="O76" s="192">
        <f t="shared" si="8"/>
        <v>592.65000000000009</v>
      </c>
      <c r="P76" s="192">
        <f t="shared" si="8"/>
        <v>399.25099999999998</v>
      </c>
      <c r="Q76" s="192">
        <f t="shared" si="9"/>
        <v>5794.7129999999997</v>
      </c>
      <c r="R76" s="192">
        <f t="shared" si="10"/>
        <v>6193.9639999999999</v>
      </c>
      <c r="S76" s="192">
        <f t="shared" si="11"/>
        <v>6454.6559999999999</v>
      </c>
      <c r="U76" s="350"/>
    </row>
    <row r="77" spans="1:21" ht="24.95" customHeight="1">
      <c r="A77" s="187" t="s">
        <v>84</v>
      </c>
      <c r="B77" s="188" t="s">
        <v>381</v>
      </c>
      <c r="C77" s="189" t="s">
        <v>222</v>
      </c>
      <c r="D77" s="190">
        <v>13637</v>
      </c>
      <c r="E77" s="190">
        <v>353</v>
      </c>
      <c r="F77" s="190">
        <v>2103</v>
      </c>
      <c r="G77" s="190">
        <v>407</v>
      </c>
      <c r="H77" s="190">
        <v>6960</v>
      </c>
      <c r="I77" s="190">
        <v>3814</v>
      </c>
      <c r="J77" s="190">
        <f t="shared" si="6"/>
        <v>9470</v>
      </c>
      <c r="K77" s="329">
        <v>7.0999999999999994E-2</v>
      </c>
      <c r="L77" s="329">
        <v>0.158</v>
      </c>
      <c r="M77" s="330">
        <v>0.13600000000000001</v>
      </c>
      <c r="N77" s="191">
        <f t="shared" si="7"/>
        <v>25.062999999999999</v>
      </c>
      <c r="O77" s="192">
        <f t="shared" si="8"/>
        <v>149.31299999999999</v>
      </c>
      <c r="P77" s="192">
        <f t="shared" si="8"/>
        <v>64.305999999999997</v>
      </c>
      <c r="Q77" s="192">
        <f t="shared" si="9"/>
        <v>1099.68</v>
      </c>
      <c r="R77" s="192">
        <f t="shared" si="10"/>
        <v>1163.9860000000001</v>
      </c>
      <c r="S77" s="192">
        <f t="shared" si="11"/>
        <v>1287.92</v>
      </c>
      <c r="U77" s="350"/>
    </row>
    <row r="78" spans="1:21" ht="24.95" customHeight="1">
      <c r="A78" s="187" t="s">
        <v>54</v>
      </c>
      <c r="B78" s="188" t="s">
        <v>490</v>
      </c>
      <c r="C78" s="189" t="s">
        <v>221</v>
      </c>
      <c r="D78" s="190">
        <v>40529</v>
      </c>
      <c r="E78" s="190">
        <v>1379</v>
      </c>
      <c r="F78" s="190">
        <v>6879</v>
      </c>
      <c r="G78" s="190">
        <v>1383</v>
      </c>
      <c r="H78" s="190">
        <v>22763</v>
      </c>
      <c r="I78" s="190">
        <v>8125</v>
      </c>
      <c r="J78" s="190">
        <f t="shared" si="6"/>
        <v>31025</v>
      </c>
      <c r="K78" s="329">
        <v>5.2000000000000005E-2</v>
      </c>
      <c r="L78" s="329">
        <v>0.14099999999999999</v>
      </c>
      <c r="M78" s="330">
        <v>0.11699999999999999</v>
      </c>
      <c r="N78" s="191">
        <f t="shared" si="7"/>
        <v>71.708000000000013</v>
      </c>
      <c r="O78" s="192">
        <f t="shared" si="8"/>
        <v>357.70800000000003</v>
      </c>
      <c r="P78" s="192">
        <f t="shared" si="8"/>
        <v>195.00299999999999</v>
      </c>
      <c r="Q78" s="192">
        <f t="shared" si="9"/>
        <v>3209.5829999999996</v>
      </c>
      <c r="R78" s="192">
        <f t="shared" si="10"/>
        <v>3404.5859999999998</v>
      </c>
      <c r="S78" s="192">
        <f t="shared" si="11"/>
        <v>3629.9249999999997</v>
      </c>
      <c r="U78" s="350"/>
    </row>
    <row r="79" spans="1:21" ht="24.95" customHeight="1">
      <c r="A79" s="187" t="s">
        <v>85</v>
      </c>
      <c r="B79" s="188" t="s">
        <v>381</v>
      </c>
      <c r="C79" s="189" t="s">
        <v>221</v>
      </c>
      <c r="D79" s="190">
        <v>181005</v>
      </c>
      <c r="E79" s="190">
        <v>6217</v>
      </c>
      <c r="F79" s="190">
        <v>32694</v>
      </c>
      <c r="G79" s="190">
        <v>15231</v>
      </c>
      <c r="H79" s="190">
        <v>102005</v>
      </c>
      <c r="I79" s="190">
        <v>24858</v>
      </c>
      <c r="J79" s="190">
        <f t="shared" si="6"/>
        <v>149930</v>
      </c>
      <c r="K79" s="329">
        <v>4.4999999999999998E-2</v>
      </c>
      <c r="L79" s="329">
        <v>0.14400000000000002</v>
      </c>
      <c r="M79" s="330">
        <v>0.11800000000000001</v>
      </c>
      <c r="N79" s="191">
        <f t="shared" si="7"/>
        <v>279.76499999999999</v>
      </c>
      <c r="O79" s="192">
        <f t="shared" si="8"/>
        <v>1471.23</v>
      </c>
      <c r="P79" s="192">
        <f t="shared" si="8"/>
        <v>2193.2640000000001</v>
      </c>
      <c r="Q79" s="192">
        <f t="shared" si="9"/>
        <v>14688.720000000001</v>
      </c>
      <c r="R79" s="192">
        <f t="shared" si="10"/>
        <v>16881.984</v>
      </c>
      <c r="S79" s="192">
        <f t="shared" si="11"/>
        <v>17691.740000000002</v>
      </c>
      <c r="U79" s="350"/>
    </row>
    <row r="80" spans="1:21" ht="24.95" customHeight="1">
      <c r="A80" s="187" t="s">
        <v>134</v>
      </c>
      <c r="B80" s="188" t="s">
        <v>428</v>
      </c>
      <c r="C80" s="189" t="s">
        <v>222</v>
      </c>
      <c r="D80" s="190">
        <v>21852</v>
      </c>
      <c r="E80" s="190">
        <v>499</v>
      </c>
      <c r="F80" s="190">
        <v>2861</v>
      </c>
      <c r="G80" s="190">
        <v>698</v>
      </c>
      <c r="H80" s="190">
        <v>11139</v>
      </c>
      <c r="I80" s="190">
        <v>6655</v>
      </c>
      <c r="J80" s="190">
        <f t="shared" si="6"/>
        <v>14698</v>
      </c>
      <c r="K80" s="329">
        <v>6.4000000000000001E-2</v>
      </c>
      <c r="L80" s="329">
        <v>0.16399999999999998</v>
      </c>
      <c r="M80" s="330">
        <v>0.14000000000000001</v>
      </c>
      <c r="N80" s="191">
        <f t="shared" si="7"/>
        <v>31.936</v>
      </c>
      <c r="O80" s="192">
        <f t="shared" si="8"/>
        <v>183.10400000000001</v>
      </c>
      <c r="P80" s="192">
        <f t="shared" si="8"/>
        <v>114.47199999999998</v>
      </c>
      <c r="Q80" s="192">
        <f t="shared" si="9"/>
        <v>1826.7959999999998</v>
      </c>
      <c r="R80" s="192">
        <f t="shared" si="10"/>
        <v>1941.2679999999998</v>
      </c>
      <c r="S80" s="192">
        <f t="shared" si="11"/>
        <v>2057.7200000000003</v>
      </c>
      <c r="U80" s="350"/>
    </row>
    <row r="81" spans="1:21" ht="24.95" customHeight="1">
      <c r="A81" s="187" t="s">
        <v>116</v>
      </c>
      <c r="B81" s="188" t="s">
        <v>17</v>
      </c>
      <c r="C81" s="189" t="s">
        <v>221</v>
      </c>
      <c r="D81" s="190">
        <v>145807</v>
      </c>
      <c r="E81" s="190">
        <v>4791</v>
      </c>
      <c r="F81" s="190">
        <v>26468</v>
      </c>
      <c r="G81" s="190">
        <v>6073</v>
      </c>
      <c r="H81" s="190">
        <v>82028</v>
      </c>
      <c r="I81" s="190">
        <v>26447</v>
      </c>
      <c r="J81" s="190">
        <f t="shared" si="6"/>
        <v>114569</v>
      </c>
      <c r="K81" s="329">
        <v>5.4000000000000006E-2</v>
      </c>
      <c r="L81" s="329">
        <v>0.19699999999999998</v>
      </c>
      <c r="M81" s="330">
        <v>0.157</v>
      </c>
      <c r="N81" s="191">
        <f t="shared" si="7"/>
        <v>258.71400000000006</v>
      </c>
      <c r="O81" s="192">
        <f t="shared" si="8"/>
        <v>1429.2720000000002</v>
      </c>
      <c r="P81" s="192">
        <f t="shared" si="8"/>
        <v>1196.3809999999999</v>
      </c>
      <c r="Q81" s="192">
        <f t="shared" si="9"/>
        <v>16159.515999999998</v>
      </c>
      <c r="R81" s="192">
        <f t="shared" si="10"/>
        <v>17355.896999999997</v>
      </c>
      <c r="S81" s="192">
        <f t="shared" si="11"/>
        <v>17987.332999999999</v>
      </c>
      <c r="U81" s="350"/>
    </row>
    <row r="82" spans="1:21" ht="24.95" customHeight="1">
      <c r="A82" s="187" t="s">
        <v>117</v>
      </c>
      <c r="B82" s="188" t="s">
        <v>17</v>
      </c>
      <c r="C82" s="189" t="s">
        <v>222</v>
      </c>
      <c r="D82" s="190">
        <v>44993</v>
      </c>
      <c r="E82" s="190">
        <v>1641</v>
      </c>
      <c r="F82" s="190">
        <v>8428</v>
      </c>
      <c r="G82" s="190">
        <v>2119</v>
      </c>
      <c r="H82" s="190">
        <v>24602</v>
      </c>
      <c r="I82" s="190">
        <v>8203</v>
      </c>
      <c r="J82" s="190">
        <f t="shared" si="6"/>
        <v>35149</v>
      </c>
      <c r="K82" s="329">
        <v>4.5999999999999999E-2</v>
      </c>
      <c r="L82" s="329">
        <v>0.17100000000000001</v>
      </c>
      <c r="M82" s="330">
        <v>0.13600000000000001</v>
      </c>
      <c r="N82" s="191">
        <f t="shared" si="7"/>
        <v>75.486000000000004</v>
      </c>
      <c r="O82" s="192">
        <f t="shared" si="8"/>
        <v>387.68799999999999</v>
      </c>
      <c r="P82" s="192">
        <f t="shared" si="8"/>
        <v>362.34900000000005</v>
      </c>
      <c r="Q82" s="192">
        <f t="shared" si="9"/>
        <v>4206.942</v>
      </c>
      <c r="R82" s="192">
        <f t="shared" si="10"/>
        <v>4569.2910000000002</v>
      </c>
      <c r="S82" s="192">
        <f t="shared" si="11"/>
        <v>4780.2640000000001</v>
      </c>
      <c r="U82" s="350"/>
    </row>
    <row r="83" spans="1:21" ht="24.95" customHeight="1">
      <c r="A83" s="187" t="s">
        <v>95</v>
      </c>
      <c r="B83" s="188" t="s">
        <v>15</v>
      </c>
      <c r="C83" s="189" t="s">
        <v>222</v>
      </c>
      <c r="D83" s="190">
        <v>130529</v>
      </c>
      <c r="E83" s="190">
        <v>4921</v>
      </c>
      <c r="F83" s="190">
        <v>25423</v>
      </c>
      <c r="G83" s="190">
        <v>8058</v>
      </c>
      <c r="H83" s="190">
        <v>71570</v>
      </c>
      <c r="I83" s="190">
        <v>20557</v>
      </c>
      <c r="J83" s="190">
        <f t="shared" si="6"/>
        <v>105051</v>
      </c>
      <c r="K83" s="329">
        <v>6.3E-2</v>
      </c>
      <c r="L83" s="329">
        <v>0.23800000000000002</v>
      </c>
      <c r="M83" s="330">
        <v>0.185</v>
      </c>
      <c r="N83" s="191">
        <f t="shared" si="7"/>
        <v>310.02300000000002</v>
      </c>
      <c r="O83" s="192">
        <f t="shared" si="8"/>
        <v>1601.6490000000001</v>
      </c>
      <c r="P83" s="192">
        <f t="shared" si="8"/>
        <v>1917.8040000000001</v>
      </c>
      <c r="Q83" s="192">
        <f t="shared" si="9"/>
        <v>17033.66</v>
      </c>
      <c r="R83" s="192">
        <f t="shared" si="10"/>
        <v>18951.464</v>
      </c>
      <c r="S83" s="192">
        <f t="shared" si="11"/>
        <v>19434.435000000001</v>
      </c>
      <c r="U83" s="350"/>
    </row>
    <row r="84" spans="1:21" ht="24.95" customHeight="1">
      <c r="A84" s="187" t="s">
        <v>62</v>
      </c>
      <c r="B84" s="188" t="s">
        <v>490</v>
      </c>
      <c r="C84" s="189" t="s">
        <v>221</v>
      </c>
      <c r="D84" s="190">
        <v>91830</v>
      </c>
      <c r="E84" s="190">
        <v>2842</v>
      </c>
      <c r="F84" s="190">
        <v>15143</v>
      </c>
      <c r="G84" s="190">
        <v>3299</v>
      </c>
      <c r="H84" s="190">
        <v>51444</v>
      </c>
      <c r="I84" s="190">
        <v>19102</v>
      </c>
      <c r="J84" s="190">
        <f t="shared" si="6"/>
        <v>69886</v>
      </c>
      <c r="K84" s="329">
        <v>4.8000000000000001E-2</v>
      </c>
      <c r="L84" s="329">
        <v>0.16300000000000001</v>
      </c>
      <c r="M84" s="330">
        <v>0.13300000000000001</v>
      </c>
      <c r="N84" s="191">
        <f t="shared" si="7"/>
        <v>136.416</v>
      </c>
      <c r="O84" s="192">
        <f t="shared" si="8"/>
        <v>726.86400000000003</v>
      </c>
      <c r="P84" s="192">
        <f t="shared" si="8"/>
        <v>537.73699999999997</v>
      </c>
      <c r="Q84" s="192">
        <f t="shared" si="9"/>
        <v>8385.3720000000012</v>
      </c>
      <c r="R84" s="192">
        <f t="shared" si="10"/>
        <v>8923.1090000000004</v>
      </c>
      <c r="S84" s="192">
        <f t="shared" si="11"/>
        <v>9294.8379999999997</v>
      </c>
      <c r="U84" s="350"/>
    </row>
    <row r="85" spans="1:21" ht="24.95" customHeight="1">
      <c r="A85" s="187" t="s">
        <v>55</v>
      </c>
      <c r="B85" s="188" t="s">
        <v>490</v>
      </c>
      <c r="C85" s="189" t="s">
        <v>221</v>
      </c>
      <c r="D85" s="190">
        <v>143259</v>
      </c>
      <c r="E85" s="190">
        <v>4793</v>
      </c>
      <c r="F85" s="190">
        <v>26575</v>
      </c>
      <c r="G85" s="190">
        <v>5890</v>
      </c>
      <c r="H85" s="190">
        <v>80287</v>
      </c>
      <c r="I85" s="190">
        <v>25714</v>
      </c>
      <c r="J85" s="190">
        <f t="shared" si="6"/>
        <v>112752</v>
      </c>
      <c r="K85" s="329">
        <v>5.2000000000000005E-2</v>
      </c>
      <c r="L85" s="329">
        <v>0.16800000000000001</v>
      </c>
      <c r="M85" s="330">
        <v>0.13600000000000001</v>
      </c>
      <c r="N85" s="191">
        <f t="shared" si="7"/>
        <v>249.23600000000002</v>
      </c>
      <c r="O85" s="192">
        <f t="shared" si="8"/>
        <v>1381.9</v>
      </c>
      <c r="P85" s="192">
        <f t="shared" si="8"/>
        <v>989.5200000000001</v>
      </c>
      <c r="Q85" s="192">
        <f t="shared" si="9"/>
        <v>13488.216</v>
      </c>
      <c r="R85" s="192">
        <f t="shared" si="10"/>
        <v>14477.736000000001</v>
      </c>
      <c r="S85" s="192">
        <f t="shared" si="11"/>
        <v>15334.272000000001</v>
      </c>
      <c r="U85" s="350"/>
    </row>
    <row r="86" spans="1:21" ht="24.95" customHeight="1">
      <c r="A86" s="187" t="s">
        <v>135</v>
      </c>
      <c r="B86" s="188" t="s">
        <v>491</v>
      </c>
      <c r="C86" s="189" t="s">
        <v>222</v>
      </c>
      <c r="D86" s="190">
        <v>69105</v>
      </c>
      <c r="E86" s="190">
        <v>2120</v>
      </c>
      <c r="F86" s="190">
        <v>11526</v>
      </c>
      <c r="G86" s="190">
        <v>2483</v>
      </c>
      <c r="H86" s="190">
        <v>37885</v>
      </c>
      <c r="I86" s="190">
        <v>15091</v>
      </c>
      <c r="J86" s="190">
        <f t="shared" si="6"/>
        <v>51894</v>
      </c>
      <c r="K86" s="329">
        <v>5.4000000000000006E-2</v>
      </c>
      <c r="L86" s="329">
        <v>0.17100000000000001</v>
      </c>
      <c r="M86" s="330">
        <v>0.14000000000000001</v>
      </c>
      <c r="N86" s="191">
        <f t="shared" si="7"/>
        <v>114.48000000000002</v>
      </c>
      <c r="O86" s="192">
        <f t="shared" si="8"/>
        <v>622.40400000000011</v>
      </c>
      <c r="P86" s="192">
        <f t="shared" si="8"/>
        <v>424.59300000000002</v>
      </c>
      <c r="Q86" s="192">
        <f t="shared" si="9"/>
        <v>6478.3350000000009</v>
      </c>
      <c r="R86" s="192">
        <f t="shared" si="10"/>
        <v>6902.9280000000008</v>
      </c>
      <c r="S86" s="192">
        <f t="shared" si="11"/>
        <v>7265.1600000000008</v>
      </c>
      <c r="U86" s="350"/>
    </row>
    <row r="87" spans="1:21" ht="24.95" customHeight="1">
      <c r="A87" s="187" t="s">
        <v>96</v>
      </c>
      <c r="B87" s="188" t="s">
        <v>15</v>
      </c>
      <c r="C87" s="189" t="s">
        <v>222</v>
      </c>
      <c r="D87" s="190">
        <v>64458</v>
      </c>
      <c r="E87" s="190">
        <v>2517</v>
      </c>
      <c r="F87" s="190">
        <v>12861</v>
      </c>
      <c r="G87" s="190">
        <v>2821</v>
      </c>
      <c r="H87" s="190">
        <v>34524</v>
      </c>
      <c r="I87" s="190">
        <v>11735</v>
      </c>
      <c r="J87" s="190">
        <f t="shared" si="6"/>
        <v>50206</v>
      </c>
      <c r="K87" s="329">
        <v>6.7000000000000004E-2</v>
      </c>
      <c r="L87" s="329">
        <v>0.24</v>
      </c>
      <c r="M87" s="330">
        <v>0.188</v>
      </c>
      <c r="N87" s="191">
        <f t="shared" si="7"/>
        <v>168.63900000000001</v>
      </c>
      <c r="O87" s="192">
        <f t="shared" si="8"/>
        <v>861.68700000000001</v>
      </c>
      <c r="P87" s="192">
        <f t="shared" si="8"/>
        <v>677.04</v>
      </c>
      <c r="Q87" s="192">
        <f t="shared" si="9"/>
        <v>8285.76</v>
      </c>
      <c r="R87" s="192">
        <f t="shared" si="10"/>
        <v>8962.7999999999993</v>
      </c>
      <c r="S87" s="192">
        <f t="shared" si="11"/>
        <v>9438.7279999999992</v>
      </c>
      <c r="U87" s="350"/>
    </row>
    <row r="88" spans="1:21" ht="24.95" customHeight="1">
      <c r="A88" s="187" t="s">
        <v>97</v>
      </c>
      <c r="B88" s="188" t="s">
        <v>15</v>
      </c>
      <c r="C88" s="189" t="s">
        <v>222</v>
      </c>
      <c r="D88" s="190">
        <v>35690</v>
      </c>
      <c r="E88" s="190">
        <v>1425</v>
      </c>
      <c r="F88" s="190">
        <v>6926</v>
      </c>
      <c r="G88" s="190">
        <v>1274</v>
      </c>
      <c r="H88" s="190">
        <v>19305</v>
      </c>
      <c r="I88" s="190">
        <v>6760</v>
      </c>
      <c r="J88" s="190">
        <f t="shared" si="6"/>
        <v>27505</v>
      </c>
      <c r="K88" s="329">
        <v>4.7E-2</v>
      </c>
      <c r="L88" s="329">
        <v>0.187</v>
      </c>
      <c r="M88" s="330">
        <v>0.14499999999999999</v>
      </c>
      <c r="N88" s="191">
        <f t="shared" si="7"/>
        <v>66.974999999999994</v>
      </c>
      <c r="O88" s="192">
        <f t="shared" si="8"/>
        <v>325.52199999999999</v>
      </c>
      <c r="P88" s="192">
        <f t="shared" si="8"/>
        <v>238.238</v>
      </c>
      <c r="Q88" s="192">
        <f t="shared" si="9"/>
        <v>3610.0349999999999</v>
      </c>
      <c r="R88" s="192">
        <f t="shared" si="10"/>
        <v>3848.2729999999997</v>
      </c>
      <c r="S88" s="192">
        <f t="shared" si="11"/>
        <v>3988.2249999999999</v>
      </c>
      <c r="U88" s="350"/>
    </row>
    <row r="89" spans="1:21" ht="24.95" customHeight="1">
      <c r="A89" s="187" t="s">
        <v>56</v>
      </c>
      <c r="B89" s="188" t="s">
        <v>490</v>
      </c>
      <c r="C89" s="189" t="s">
        <v>222</v>
      </c>
      <c r="D89" s="190">
        <v>64236</v>
      </c>
      <c r="E89" s="190">
        <v>2118</v>
      </c>
      <c r="F89" s="190">
        <v>11127</v>
      </c>
      <c r="G89" s="190">
        <v>2415</v>
      </c>
      <c r="H89" s="190">
        <v>35879</v>
      </c>
      <c r="I89" s="190">
        <v>12697</v>
      </c>
      <c r="J89" s="190">
        <f t="shared" si="6"/>
        <v>49421</v>
      </c>
      <c r="K89" s="329">
        <v>5.4000000000000006E-2</v>
      </c>
      <c r="L89" s="329">
        <v>0.158</v>
      </c>
      <c r="M89" s="330">
        <v>0.13</v>
      </c>
      <c r="N89" s="191">
        <f t="shared" si="7"/>
        <v>114.37200000000001</v>
      </c>
      <c r="O89" s="192">
        <f t="shared" si="8"/>
        <v>600.85800000000006</v>
      </c>
      <c r="P89" s="192">
        <f t="shared" si="8"/>
        <v>381.57</v>
      </c>
      <c r="Q89" s="192">
        <f t="shared" si="9"/>
        <v>5668.8819999999996</v>
      </c>
      <c r="R89" s="192">
        <f t="shared" si="10"/>
        <v>6050.4519999999993</v>
      </c>
      <c r="S89" s="192">
        <f t="shared" si="11"/>
        <v>6424.7300000000005</v>
      </c>
      <c r="U89" s="350"/>
    </row>
    <row r="90" spans="1:21" ht="24.95" customHeight="1">
      <c r="A90" s="187" t="s">
        <v>63</v>
      </c>
      <c r="B90" s="188" t="s">
        <v>490</v>
      </c>
      <c r="C90" s="189" t="s">
        <v>221</v>
      </c>
      <c r="D90" s="190">
        <v>46360</v>
      </c>
      <c r="E90" s="190">
        <v>1302</v>
      </c>
      <c r="F90" s="190">
        <v>7005</v>
      </c>
      <c r="G90" s="190">
        <v>1342</v>
      </c>
      <c r="H90" s="190">
        <v>26863</v>
      </c>
      <c r="I90" s="190">
        <v>9848</v>
      </c>
      <c r="J90" s="190">
        <f t="shared" si="6"/>
        <v>35210</v>
      </c>
      <c r="K90" s="329">
        <v>5.2999999999999999E-2</v>
      </c>
      <c r="L90" s="329">
        <v>0.14599999999999999</v>
      </c>
      <c r="M90" s="330">
        <v>0.124</v>
      </c>
      <c r="N90" s="191">
        <f t="shared" si="7"/>
        <v>69.006</v>
      </c>
      <c r="O90" s="192">
        <f t="shared" si="8"/>
        <v>371.26499999999999</v>
      </c>
      <c r="P90" s="192">
        <f t="shared" si="8"/>
        <v>195.93199999999999</v>
      </c>
      <c r="Q90" s="192">
        <f t="shared" si="9"/>
        <v>3921.9979999999996</v>
      </c>
      <c r="R90" s="192">
        <f t="shared" si="10"/>
        <v>4117.9299999999994</v>
      </c>
      <c r="S90" s="192">
        <f t="shared" si="11"/>
        <v>4366.04</v>
      </c>
      <c r="U90" s="350"/>
    </row>
    <row r="91" spans="1:21" ht="24.95" customHeight="1">
      <c r="A91" s="187" t="s">
        <v>107</v>
      </c>
      <c r="B91" s="188" t="s">
        <v>491</v>
      </c>
      <c r="C91" s="189" t="s">
        <v>222</v>
      </c>
      <c r="D91" s="190">
        <v>73231</v>
      </c>
      <c r="E91" s="190">
        <v>2304</v>
      </c>
      <c r="F91" s="190">
        <v>12649</v>
      </c>
      <c r="G91" s="190">
        <v>2888</v>
      </c>
      <c r="H91" s="190">
        <v>40618</v>
      </c>
      <c r="I91" s="190">
        <v>14772</v>
      </c>
      <c r="J91" s="190">
        <f t="shared" si="6"/>
        <v>56155</v>
      </c>
      <c r="K91" s="329">
        <v>6.3E-2</v>
      </c>
      <c r="L91" s="329">
        <v>0.184</v>
      </c>
      <c r="M91" s="330">
        <v>0.152</v>
      </c>
      <c r="N91" s="191">
        <f t="shared" si="7"/>
        <v>145.15199999999999</v>
      </c>
      <c r="O91" s="192">
        <f t="shared" si="8"/>
        <v>796.88700000000006</v>
      </c>
      <c r="P91" s="192">
        <f t="shared" si="8"/>
        <v>531.39199999999994</v>
      </c>
      <c r="Q91" s="192">
        <f t="shared" si="9"/>
        <v>7473.7119999999995</v>
      </c>
      <c r="R91" s="192">
        <f t="shared" si="10"/>
        <v>8005.1039999999994</v>
      </c>
      <c r="S91" s="192">
        <f t="shared" si="11"/>
        <v>8535.56</v>
      </c>
      <c r="U91" s="350"/>
    </row>
    <row r="92" spans="1:21" ht="24.95" customHeight="1">
      <c r="A92" s="187" t="s">
        <v>136</v>
      </c>
      <c r="B92" s="188" t="s">
        <v>428</v>
      </c>
      <c r="C92" s="189" t="s">
        <v>222</v>
      </c>
      <c r="D92" s="190">
        <v>14108</v>
      </c>
      <c r="E92" s="190">
        <v>494</v>
      </c>
      <c r="F92" s="190">
        <v>2758</v>
      </c>
      <c r="G92" s="190">
        <v>443</v>
      </c>
      <c r="H92" s="190">
        <v>7462</v>
      </c>
      <c r="I92" s="190">
        <v>2951</v>
      </c>
      <c r="J92" s="190">
        <f t="shared" si="6"/>
        <v>10663</v>
      </c>
      <c r="K92" s="329">
        <v>8.199999999999999E-2</v>
      </c>
      <c r="L92" s="329">
        <v>0.23499999999999999</v>
      </c>
      <c r="M92" s="330">
        <v>0.193</v>
      </c>
      <c r="N92" s="191">
        <f t="shared" si="7"/>
        <v>40.507999999999996</v>
      </c>
      <c r="O92" s="192">
        <f t="shared" si="8"/>
        <v>226.15599999999998</v>
      </c>
      <c r="P92" s="192">
        <f t="shared" si="8"/>
        <v>104.10499999999999</v>
      </c>
      <c r="Q92" s="192">
        <f t="shared" si="9"/>
        <v>1753.57</v>
      </c>
      <c r="R92" s="192">
        <f t="shared" si="10"/>
        <v>1857.675</v>
      </c>
      <c r="S92" s="192">
        <f t="shared" si="11"/>
        <v>2057.9589999999998</v>
      </c>
      <c r="U92" s="350"/>
    </row>
    <row r="93" spans="1:21" ht="24.95" customHeight="1">
      <c r="A93" s="187" t="s">
        <v>137</v>
      </c>
      <c r="B93" s="188" t="s">
        <v>428</v>
      </c>
      <c r="C93" s="189" t="s">
        <v>222</v>
      </c>
      <c r="D93" s="190">
        <v>35806</v>
      </c>
      <c r="E93" s="190">
        <v>905</v>
      </c>
      <c r="F93" s="190">
        <v>4775</v>
      </c>
      <c r="G93" s="190">
        <v>1340</v>
      </c>
      <c r="H93" s="190">
        <v>17235</v>
      </c>
      <c r="I93" s="190">
        <v>11551</v>
      </c>
      <c r="J93" s="190">
        <f t="shared" si="6"/>
        <v>23350</v>
      </c>
      <c r="K93" s="329">
        <v>6.0999999999999999E-2</v>
      </c>
      <c r="L93" s="329">
        <v>0.19800000000000001</v>
      </c>
      <c r="M93" s="330">
        <v>0.16600000000000001</v>
      </c>
      <c r="N93" s="191">
        <f t="shared" si="7"/>
        <v>55.204999999999998</v>
      </c>
      <c r="O93" s="192">
        <f t="shared" si="8"/>
        <v>291.27499999999998</v>
      </c>
      <c r="P93" s="192">
        <f t="shared" si="8"/>
        <v>265.32</v>
      </c>
      <c r="Q93" s="192">
        <f t="shared" si="9"/>
        <v>3412.53</v>
      </c>
      <c r="R93" s="192">
        <f t="shared" si="10"/>
        <v>3677.8500000000004</v>
      </c>
      <c r="S93" s="192">
        <f t="shared" si="11"/>
        <v>3876.1000000000004</v>
      </c>
      <c r="U93" s="350"/>
    </row>
    <row r="94" spans="1:21" ht="24.95" customHeight="1">
      <c r="A94" s="187" t="s">
        <v>86</v>
      </c>
      <c r="B94" s="188" t="s">
        <v>381</v>
      </c>
      <c r="C94" s="189" t="s">
        <v>222</v>
      </c>
      <c r="D94" s="190">
        <v>4260</v>
      </c>
      <c r="E94" s="190">
        <v>124</v>
      </c>
      <c r="F94" s="190">
        <v>669</v>
      </c>
      <c r="G94" s="190">
        <v>123</v>
      </c>
      <c r="H94" s="190">
        <v>2459</v>
      </c>
      <c r="I94" s="190">
        <v>885</v>
      </c>
      <c r="J94" s="190">
        <f t="shared" si="6"/>
        <v>3251</v>
      </c>
      <c r="K94" s="329">
        <v>7.0999999999999994E-2</v>
      </c>
      <c r="L94" s="329">
        <v>0.21</v>
      </c>
      <c r="M94" s="330">
        <v>0.17100000000000001</v>
      </c>
      <c r="N94" s="191">
        <f t="shared" si="7"/>
        <v>8.8039999999999985</v>
      </c>
      <c r="O94" s="192">
        <f t="shared" si="8"/>
        <v>47.498999999999995</v>
      </c>
      <c r="P94" s="192">
        <f t="shared" si="8"/>
        <v>25.83</v>
      </c>
      <c r="Q94" s="192">
        <f t="shared" si="9"/>
        <v>516.39</v>
      </c>
      <c r="R94" s="192">
        <f t="shared" si="10"/>
        <v>542.22</v>
      </c>
      <c r="S94" s="192">
        <f t="shared" si="11"/>
        <v>555.92100000000005</v>
      </c>
      <c r="U94" s="350"/>
    </row>
    <row r="95" spans="1:21" ht="24.95" customHeight="1">
      <c r="A95" s="187" t="s">
        <v>57</v>
      </c>
      <c r="B95" s="188" t="s">
        <v>490</v>
      </c>
      <c r="C95" s="189" t="s">
        <v>221</v>
      </c>
      <c r="D95" s="190">
        <v>242657</v>
      </c>
      <c r="E95" s="190">
        <v>10179</v>
      </c>
      <c r="F95" s="190">
        <v>47815</v>
      </c>
      <c r="G95" s="190">
        <v>11609</v>
      </c>
      <c r="H95" s="190">
        <v>140678</v>
      </c>
      <c r="I95" s="190">
        <v>32376</v>
      </c>
      <c r="J95" s="190">
        <f t="shared" si="6"/>
        <v>200102</v>
      </c>
      <c r="K95" s="329">
        <v>0.06</v>
      </c>
      <c r="L95" s="329">
        <v>0.153</v>
      </c>
      <c r="M95" s="330">
        <v>0.12300000000000001</v>
      </c>
      <c r="N95" s="191">
        <f t="shared" si="7"/>
        <v>610.74</v>
      </c>
      <c r="O95" s="192">
        <f t="shared" si="8"/>
        <v>2868.9</v>
      </c>
      <c r="P95" s="192">
        <f t="shared" si="8"/>
        <v>1776.1769999999999</v>
      </c>
      <c r="Q95" s="192">
        <f t="shared" si="9"/>
        <v>21523.734</v>
      </c>
      <c r="R95" s="192">
        <f t="shared" si="10"/>
        <v>23299.911</v>
      </c>
      <c r="S95" s="192">
        <f t="shared" si="11"/>
        <v>24612.546000000002</v>
      </c>
      <c r="U95" s="350"/>
    </row>
    <row r="96" spans="1:21" ht="24.95" customHeight="1">
      <c r="A96" s="187" t="s">
        <v>58</v>
      </c>
      <c r="B96" s="188" t="s">
        <v>490</v>
      </c>
      <c r="C96" s="189" t="s">
        <v>222</v>
      </c>
      <c r="D96" s="190">
        <v>46142</v>
      </c>
      <c r="E96" s="190">
        <v>1721</v>
      </c>
      <c r="F96" s="190">
        <v>8827</v>
      </c>
      <c r="G96" s="190">
        <v>1970</v>
      </c>
      <c r="H96" s="190">
        <v>25006</v>
      </c>
      <c r="I96" s="190">
        <v>8618</v>
      </c>
      <c r="J96" s="190">
        <f t="shared" si="6"/>
        <v>35803</v>
      </c>
      <c r="K96" s="329">
        <v>4.8000000000000001E-2</v>
      </c>
      <c r="L96" s="329">
        <v>0.16500000000000001</v>
      </c>
      <c r="M96" s="330">
        <v>0.13200000000000001</v>
      </c>
      <c r="N96" s="191">
        <f t="shared" si="7"/>
        <v>82.608000000000004</v>
      </c>
      <c r="O96" s="192">
        <f t="shared" si="8"/>
        <v>423.69600000000003</v>
      </c>
      <c r="P96" s="192">
        <f t="shared" si="8"/>
        <v>325.05</v>
      </c>
      <c r="Q96" s="192">
        <f t="shared" si="9"/>
        <v>4125.99</v>
      </c>
      <c r="R96" s="192">
        <f t="shared" si="10"/>
        <v>4451.04</v>
      </c>
      <c r="S96" s="192">
        <f t="shared" si="11"/>
        <v>4725.9960000000001</v>
      </c>
      <c r="U96" s="350"/>
    </row>
    <row r="97" spans="1:21" ht="24.95" customHeight="1">
      <c r="A97" s="187" t="s">
        <v>44</v>
      </c>
      <c r="B97" s="188" t="s">
        <v>469</v>
      </c>
      <c r="C97" s="189" t="s">
        <v>221</v>
      </c>
      <c r="D97" s="190">
        <v>1109883</v>
      </c>
      <c r="E97" s="190">
        <v>38845</v>
      </c>
      <c r="F97" s="190">
        <v>215891</v>
      </c>
      <c r="G97" s="190">
        <v>47425</v>
      </c>
      <c r="H97" s="190">
        <v>670579</v>
      </c>
      <c r="I97" s="190">
        <v>137143</v>
      </c>
      <c r="J97" s="190">
        <f t="shared" si="6"/>
        <v>933895</v>
      </c>
      <c r="K97" s="329">
        <v>5.4000000000000006E-2</v>
      </c>
      <c r="L97" s="329">
        <v>0.11800000000000001</v>
      </c>
      <c r="M97" s="330">
        <v>0.1</v>
      </c>
      <c r="N97" s="191">
        <f t="shared" si="7"/>
        <v>2097.63</v>
      </c>
      <c r="O97" s="192">
        <f t="shared" si="8"/>
        <v>11658.114000000001</v>
      </c>
      <c r="P97" s="192">
        <f t="shared" si="8"/>
        <v>5596.1500000000005</v>
      </c>
      <c r="Q97" s="192">
        <f t="shared" si="9"/>
        <v>79128.322</v>
      </c>
      <c r="R97" s="192">
        <f t="shared" si="10"/>
        <v>84724.471999999994</v>
      </c>
      <c r="S97" s="192">
        <f t="shared" si="11"/>
        <v>93389.5</v>
      </c>
      <c r="U97" s="350"/>
    </row>
    <row r="98" spans="1:21" ht="24.95" customHeight="1">
      <c r="A98" s="187" t="s">
        <v>59</v>
      </c>
      <c r="B98" s="188" t="s">
        <v>490</v>
      </c>
      <c r="C98" s="189" t="s">
        <v>222</v>
      </c>
      <c r="D98" s="190">
        <v>19898</v>
      </c>
      <c r="E98" s="190">
        <v>539</v>
      </c>
      <c r="F98" s="190">
        <v>3062</v>
      </c>
      <c r="G98" s="190">
        <v>584</v>
      </c>
      <c r="H98" s="190">
        <v>10766</v>
      </c>
      <c r="I98" s="190">
        <v>4947</v>
      </c>
      <c r="J98" s="190">
        <f t="shared" si="6"/>
        <v>14412</v>
      </c>
      <c r="K98" s="329">
        <v>7.0999999999999994E-2</v>
      </c>
      <c r="L98" s="329">
        <v>0.19699999999999998</v>
      </c>
      <c r="M98" s="330">
        <v>0.16500000000000001</v>
      </c>
      <c r="N98" s="191">
        <f t="shared" si="7"/>
        <v>38.268999999999998</v>
      </c>
      <c r="O98" s="192">
        <f t="shared" si="8"/>
        <v>217.40199999999999</v>
      </c>
      <c r="P98" s="192">
        <f t="shared" si="8"/>
        <v>115.04799999999999</v>
      </c>
      <c r="Q98" s="192">
        <f t="shared" si="9"/>
        <v>2120.9019999999996</v>
      </c>
      <c r="R98" s="192">
        <f t="shared" si="10"/>
        <v>2235.9499999999994</v>
      </c>
      <c r="S98" s="192">
        <f t="shared" si="11"/>
        <v>2377.98</v>
      </c>
      <c r="U98" s="350"/>
    </row>
    <row r="99" spans="1:21" ht="24.95" customHeight="1">
      <c r="A99" s="187" t="s">
        <v>87</v>
      </c>
      <c r="B99" s="188" t="s">
        <v>381</v>
      </c>
      <c r="C99" s="189" t="s">
        <v>222</v>
      </c>
      <c r="D99" s="190">
        <v>11987</v>
      </c>
      <c r="E99" s="190">
        <v>415</v>
      </c>
      <c r="F99" s="190">
        <v>2137</v>
      </c>
      <c r="G99" s="190">
        <v>338</v>
      </c>
      <c r="H99" s="190">
        <v>6063</v>
      </c>
      <c r="I99" s="190">
        <v>3034</v>
      </c>
      <c r="J99" s="190">
        <f t="shared" si="6"/>
        <v>8538</v>
      </c>
      <c r="K99" s="329">
        <v>5.2000000000000005E-2</v>
      </c>
      <c r="L99" s="329">
        <v>0.155</v>
      </c>
      <c r="M99" s="330">
        <v>0.128</v>
      </c>
      <c r="N99" s="191">
        <f t="shared" si="7"/>
        <v>21.580000000000002</v>
      </c>
      <c r="O99" s="192">
        <f t="shared" si="8"/>
        <v>111.12400000000001</v>
      </c>
      <c r="P99" s="192">
        <f t="shared" si="8"/>
        <v>52.39</v>
      </c>
      <c r="Q99" s="192">
        <f t="shared" si="9"/>
        <v>939.76499999999999</v>
      </c>
      <c r="R99" s="192">
        <f t="shared" si="10"/>
        <v>992.15499999999997</v>
      </c>
      <c r="S99" s="192">
        <f t="shared" si="11"/>
        <v>1092.864</v>
      </c>
      <c r="U99" s="350"/>
    </row>
    <row r="100" spans="1:21" ht="24.95" customHeight="1">
      <c r="A100" s="187" t="s">
        <v>138</v>
      </c>
      <c r="B100" s="188" t="s">
        <v>428</v>
      </c>
      <c r="C100" s="189" t="s">
        <v>222</v>
      </c>
      <c r="D100" s="190">
        <v>58731</v>
      </c>
      <c r="E100" s="190">
        <v>1188</v>
      </c>
      <c r="F100" s="190">
        <v>5872</v>
      </c>
      <c r="G100" s="190">
        <v>9212</v>
      </c>
      <c r="H100" s="190">
        <v>32642</v>
      </c>
      <c r="I100" s="190">
        <v>9817</v>
      </c>
      <c r="J100" s="190">
        <f t="shared" si="6"/>
        <v>47726</v>
      </c>
      <c r="K100" s="329">
        <v>5.2999999999999999E-2</v>
      </c>
      <c r="L100" s="329">
        <v>0.14400000000000002</v>
      </c>
      <c r="M100" s="330">
        <v>0.128</v>
      </c>
      <c r="N100" s="191">
        <f t="shared" si="7"/>
        <v>62.963999999999999</v>
      </c>
      <c r="O100" s="192">
        <f t="shared" si="8"/>
        <v>311.21600000000001</v>
      </c>
      <c r="P100" s="192">
        <f t="shared" si="8"/>
        <v>1326.5280000000002</v>
      </c>
      <c r="Q100" s="192">
        <f t="shared" si="9"/>
        <v>4700.4480000000003</v>
      </c>
      <c r="R100" s="192">
        <f t="shared" si="10"/>
        <v>6026.9760000000006</v>
      </c>
      <c r="S100" s="192">
        <f t="shared" si="11"/>
        <v>6108.9279999999999</v>
      </c>
      <c r="U100" s="350"/>
    </row>
    <row r="101" spans="1:21" ht="24.95" customHeight="1">
      <c r="A101" s="187" t="s">
        <v>98</v>
      </c>
      <c r="B101" s="188" t="s">
        <v>15</v>
      </c>
      <c r="C101" s="189" t="s">
        <v>221</v>
      </c>
      <c r="D101" s="190">
        <v>126606</v>
      </c>
      <c r="E101" s="190">
        <v>4859</v>
      </c>
      <c r="F101" s="190">
        <v>25554</v>
      </c>
      <c r="G101" s="190">
        <v>5192</v>
      </c>
      <c r="H101" s="190">
        <v>69808</v>
      </c>
      <c r="I101" s="190">
        <v>21193</v>
      </c>
      <c r="J101" s="190">
        <f t="shared" si="6"/>
        <v>100554</v>
      </c>
      <c r="K101" s="329">
        <v>4.9000000000000002E-2</v>
      </c>
      <c r="L101" s="329">
        <v>0.18899999999999997</v>
      </c>
      <c r="M101" s="330">
        <v>0.14800000000000002</v>
      </c>
      <c r="N101" s="191">
        <f t="shared" si="7"/>
        <v>238.09100000000001</v>
      </c>
      <c r="O101" s="192">
        <f t="shared" si="8"/>
        <v>1252.146</v>
      </c>
      <c r="P101" s="192">
        <f t="shared" si="8"/>
        <v>981.2879999999999</v>
      </c>
      <c r="Q101" s="192">
        <f t="shared" si="9"/>
        <v>13193.711999999998</v>
      </c>
      <c r="R101" s="192">
        <f t="shared" si="10"/>
        <v>14174.999999999998</v>
      </c>
      <c r="S101" s="192">
        <f t="shared" si="11"/>
        <v>14881.992000000002</v>
      </c>
      <c r="U101" s="350"/>
    </row>
    <row r="102" spans="1:21" ht="24.95" customHeight="1">
      <c r="A102" s="187" t="s">
        <v>139</v>
      </c>
      <c r="B102" s="188" t="s">
        <v>428</v>
      </c>
      <c r="C102" s="189" t="s">
        <v>222</v>
      </c>
      <c r="D102" s="190">
        <v>70490</v>
      </c>
      <c r="E102" s="190">
        <v>2150</v>
      </c>
      <c r="F102" s="190">
        <v>11639</v>
      </c>
      <c r="G102" s="190">
        <v>2578</v>
      </c>
      <c r="H102" s="190">
        <v>38572</v>
      </c>
      <c r="I102" s="190">
        <v>15551</v>
      </c>
      <c r="J102" s="190">
        <f t="shared" si="6"/>
        <v>52789</v>
      </c>
      <c r="K102" s="329">
        <v>5.5999999999999994E-2</v>
      </c>
      <c r="L102" s="329">
        <v>0.188</v>
      </c>
      <c r="M102" s="330">
        <v>0.153</v>
      </c>
      <c r="N102" s="191">
        <f t="shared" si="7"/>
        <v>120.39999999999999</v>
      </c>
      <c r="O102" s="192">
        <f t="shared" si="8"/>
        <v>651.78399999999988</v>
      </c>
      <c r="P102" s="192">
        <f t="shared" si="8"/>
        <v>484.66399999999999</v>
      </c>
      <c r="Q102" s="192">
        <f t="shared" si="9"/>
        <v>7251.5360000000001</v>
      </c>
      <c r="R102" s="192">
        <f t="shared" si="10"/>
        <v>7736.2</v>
      </c>
      <c r="S102" s="192">
        <f t="shared" si="11"/>
        <v>8076.7169999999996</v>
      </c>
      <c r="U102" s="350"/>
    </row>
    <row r="103" spans="1:21" ht="24.95" customHeight="1">
      <c r="A103" s="187" t="s">
        <v>99</v>
      </c>
      <c r="B103" s="188" t="s">
        <v>15</v>
      </c>
      <c r="C103" s="189" t="s">
        <v>222</v>
      </c>
      <c r="D103" s="190">
        <v>82675</v>
      </c>
      <c r="E103" s="190">
        <v>2933</v>
      </c>
      <c r="F103" s="190">
        <v>15582</v>
      </c>
      <c r="G103" s="190">
        <v>3039</v>
      </c>
      <c r="H103" s="190">
        <v>45757</v>
      </c>
      <c r="I103" s="190">
        <v>15364</v>
      </c>
      <c r="J103" s="190">
        <f t="shared" si="6"/>
        <v>64378</v>
      </c>
      <c r="K103" s="329">
        <v>5.4000000000000006E-2</v>
      </c>
      <c r="L103" s="329">
        <v>0.183</v>
      </c>
      <c r="M103" s="330">
        <v>0.14699999999999999</v>
      </c>
      <c r="N103" s="191">
        <f t="shared" si="7"/>
        <v>158.38200000000001</v>
      </c>
      <c r="O103" s="192">
        <f t="shared" si="8"/>
        <v>841.42800000000011</v>
      </c>
      <c r="P103" s="192">
        <f t="shared" si="8"/>
        <v>556.13699999999994</v>
      </c>
      <c r="Q103" s="192">
        <f t="shared" si="9"/>
        <v>8373.530999999999</v>
      </c>
      <c r="R103" s="192">
        <f t="shared" si="10"/>
        <v>8929.6679999999997</v>
      </c>
      <c r="S103" s="192">
        <f t="shared" si="11"/>
        <v>9463.5659999999989</v>
      </c>
      <c r="U103" s="350"/>
    </row>
    <row r="104" spans="1:21" ht="24.95" customHeight="1">
      <c r="A104" s="187" t="s">
        <v>108</v>
      </c>
      <c r="B104" s="188" t="s">
        <v>491</v>
      </c>
      <c r="C104" s="189" t="s">
        <v>221</v>
      </c>
      <c r="D104" s="190">
        <v>38236</v>
      </c>
      <c r="E104" s="190">
        <v>1181</v>
      </c>
      <c r="F104" s="190">
        <v>6474</v>
      </c>
      <c r="G104" s="190">
        <v>1336</v>
      </c>
      <c r="H104" s="190">
        <v>21496</v>
      </c>
      <c r="I104" s="190">
        <v>7749</v>
      </c>
      <c r="J104" s="190">
        <f t="shared" si="6"/>
        <v>29306</v>
      </c>
      <c r="K104" s="329">
        <v>6.5000000000000002E-2</v>
      </c>
      <c r="L104" s="329">
        <v>0.17399999999999999</v>
      </c>
      <c r="M104" s="330">
        <v>0.14499999999999999</v>
      </c>
      <c r="N104" s="191">
        <f t="shared" si="7"/>
        <v>76.765000000000001</v>
      </c>
      <c r="O104" s="192">
        <f t="shared" si="8"/>
        <v>420.81</v>
      </c>
      <c r="P104" s="192">
        <f t="shared" si="8"/>
        <v>232.46399999999997</v>
      </c>
      <c r="Q104" s="192">
        <f t="shared" si="9"/>
        <v>3740.3039999999996</v>
      </c>
      <c r="R104" s="192">
        <f t="shared" si="10"/>
        <v>3972.7679999999996</v>
      </c>
      <c r="S104" s="192">
        <f t="shared" si="11"/>
        <v>4249.37</v>
      </c>
      <c r="U104" s="350"/>
    </row>
    <row r="105" spans="1:21" ht="24.95" customHeight="1">
      <c r="A105" s="187" t="s">
        <v>140</v>
      </c>
      <c r="B105" s="188" t="s">
        <v>428</v>
      </c>
      <c r="C105" s="189" t="s">
        <v>222</v>
      </c>
      <c r="D105" s="190">
        <v>18794</v>
      </c>
      <c r="E105" s="190">
        <v>558</v>
      </c>
      <c r="F105" s="190">
        <v>2795</v>
      </c>
      <c r="G105" s="190">
        <v>559</v>
      </c>
      <c r="H105" s="190">
        <v>10115</v>
      </c>
      <c r="I105" s="190">
        <v>4767</v>
      </c>
      <c r="J105" s="190">
        <f t="shared" si="6"/>
        <v>13469</v>
      </c>
      <c r="K105" s="329">
        <v>6.7000000000000004E-2</v>
      </c>
      <c r="L105" s="329">
        <v>0.17899999999999999</v>
      </c>
      <c r="M105" s="331">
        <v>0.151</v>
      </c>
      <c r="N105" s="191">
        <f t="shared" si="7"/>
        <v>37.386000000000003</v>
      </c>
      <c r="O105" s="192">
        <f t="shared" si="8"/>
        <v>187.26500000000001</v>
      </c>
      <c r="P105" s="192">
        <f t="shared" si="8"/>
        <v>100.06099999999999</v>
      </c>
      <c r="Q105" s="192">
        <f t="shared" si="9"/>
        <v>1810.585</v>
      </c>
      <c r="R105" s="192">
        <f t="shared" si="10"/>
        <v>1910.646</v>
      </c>
      <c r="S105" s="192">
        <f t="shared" si="11"/>
        <v>2033.819</v>
      </c>
      <c r="U105" s="350"/>
    </row>
    <row r="106" spans="1:21" ht="20.100000000000001" customHeight="1">
      <c r="D106" s="197"/>
      <c r="E106" s="197"/>
      <c r="F106" s="197"/>
      <c r="G106" s="197"/>
      <c r="H106" s="197"/>
      <c r="I106" s="398"/>
      <c r="J106" s="398"/>
      <c r="K106" s="332"/>
      <c r="L106" s="332"/>
      <c r="M106" s="333"/>
      <c r="N106" s="199"/>
      <c r="O106" s="199"/>
      <c r="P106" s="199"/>
      <c r="Q106" s="199"/>
      <c r="R106" s="199"/>
      <c r="S106" s="197"/>
      <c r="U106" s="350"/>
    </row>
    <row r="107" spans="1:21" ht="24.95" customHeight="1">
      <c r="A107" s="200" t="s">
        <v>223</v>
      </c>
      <c r="B107" s="182"/>
      <c r="C107" s="183"/>
      <c r="D107" s="201">
        <f>SUBTOTAL(9,D6:D105)</f>
        <v>10630691</v>
      </c>
      <c r="E107" s="201">
        <f t="shared" ref="E107:J107" si="12">SUBTOTAL(9,E6:E105)</f>
        <v>369367</v>
      </c>
      <c r="F107" s="201">
        <f t="shared" si="12"/>
        <v>1950372</v>
      </c>
      <c r="G107" s="201">
        <f t="shared" si="12"/>
        <v>465784</v>
      </c>
      <c r="H107" s="201">
        <f t="shared" si="12"/>
        <v>6049729</v>
      </c>
      <c r="I107" s="201">
        <f t="shared" si="12"/>
        <v>1795439</v>
      </c>
      <c r="J107" s="201">
        <f t="shared" si="12"/>
        <v>8465885</v>
      </c>
      <c r="K107" s="327">
        <v>5.4000000000000006E-2</v>
      </c>
      <c r="L107" s="327">
        <v>0.155</v>
      </c>
      <c r="M107" s="327">
        <v>0.127</v>
      </c>
      <c r="N107" s="201">
        <f t="shared" ref="N107:S107" si="13">SUBTOTAL(9,N6:N105)</f>
        <v>19660.047000000002</v>
      </c>
      <c r="O107" s="201">
        <f t="shared" si="13"/>
        <v>104275.31199999995</v>
      </c>
      <c r="P107" s="201">
        <f t="shared" si="13"/>
        <v>72074.117000000013</v>
      </c>
      <c r="Q107" s="201">
        <f t="shared" si="13"/>
        <v>940570.13299999968</v>
      </c>
      <c r="R107" s="201">
        <f t="shared" si="13"/>
        <v>1012644.2500000003</v>
      </c>
      <c r="S107" s="201">
        <f t="shared" si="13"/>
        <v>1079986.5020000001</v>
      </c>
      <c r="U107" s="351"/>
    </row>
    <row r="108" spans="1:21">
      <c r="N108" s="202">
        <f>N107/E107</f>
        <v>5.322632232982373E-2</v>
      </c>
      <c r="O108" s="202">
        <f>O107/F107</f>
        <v>5.3464319627230063E-2</v>
      </c>
      <c r="P108" s="202">
        <f>P107/G107</f>
        <v>0.15473721081016095</v>
      </c>
      <c r="Q108" s="202">
        <f>Q107/H107</f>
        <v>0.15547310185299204</v>
      </c>
      <c r="R108" s="202">
        <f>R107/SUM(G107:H107)</f>
        <v>0.15542049413453712</v>
      </c>
      <c r="S108" s="202">
        <f>S107/J107</f>
        <v>0.12756923841984624</v>
      </c>
      <c r="U108" s="202"/>
    </row>
    <row r="109" spans="1:21" ht="20.100000000000001" customHeight="1">
      <c r="A109" s="162" t="s">
        <v>484</v>
      </c>
    </row>
    <row r="110" spans="1:21" ht="39.950000000000003" customHeight="1">
      <c r="A110" s="445" t="s">
        <v>485</v>
      </c>
      <c r="B110" s="445"/>
      <c r="C110" s="445"/>
      <c r="D110" s="445"/>
      <c r="E110" s="445"/>
      <c r="F110" s="445"/>
      <c r="G110" s="445"/>
      <c r="H110" s="445"/>
      <c r="I110" s="445"/>
      <c r="J110" s="445"/>
      <c r="K110" s="445"/>
      <c r="L110" s="445"/>
      <c r="M110" s="445"/>
      <c r="N110" s="445"/>
      <c r="O110" s="445"/>
      <c r="P110" s="445"/>
      <c r="Q110" s="445"/>
      <c r="R110" s="445"/>
      <c r="S110" s="445"/>
    </row>
    <row r="111" spans="1:21" ht="90" customHeight="1">
      <c r="A111" s="450" t="s">
        <v>486</v>
      </c>
      <c r="B111" s="450"/>
      <c r="C111" s="450"/>
      <c r="D111" s="450"/>
      <c r="E111" s="450"/>
      <c r="F111" s="450"/>
      <c r="G111" s="450"/>
      <c r="H111" s="450"/>
      <c r="I111" s="450"/>
      <c r="J111" s="450"/>
      <c r="K111" s="450"/>
      <c r="L111" s="450"/>
      <c r="M111" s="450"/>
      <c r="N111" s="450"/>
      <c r="O111" s="450"/>
      <c r="P111" s="450"/>
      <c r="Q111" s="450"/>
      <c r="R111" s="450"/>
      <c r="S111" s="450"/>
    </row>
  </sheetData>
  <sheetProtection sheet="1" autoFilter="0"/>
  <autoFilter ref="A5:S111"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6A172-1D9D-40DB-BFF9-ABE01EBEA8E0}">
  <sheetPr>
    <tabColor theme="7"/>
  </sheetPr>
  <dimension ref="A1:S238"/>
  <sheetViews>
    <sheetView workbookViewId="0">
      <pane ySplit="4" topLeftCell="A5" activePane="bottomLeft" state="frozen"/>
      <selection activeCell="C107" sqref="C107"/>
      <selection pane="bottomLeft" activeCell="K44" sqref="K44"/>
    </sheetView>
  </sheetViews>
  <sheetFormatPr defaultRowHeight="12.75"/>
  <cols>
    <col min="1" max="1" width="46.5703125" style="354" bestFit="1" customWidth="1"/>
    <col min="2" max="2" width="18.7109375" style="356" customWidth="1"/>
    <col min="3" max="6" width="18.7109375" style="354" customWidth="1"/>
    <col min="7" max="16384" width="9.140625" style="354"/>
  </cols>
  <sheetData>
    <row r="1" spans="1:9" ht="18">
      <c r="A1" s="352" t="s">
        <v>479</v>
      </c>
      <c r="B1" s="353"/>
      <c r="C1" s="353"/>
      <c r="D1" s="353"/>
      <c r="E1" s="353"/>
      <c r="F1" s="353"/>
    </row>
    <row r="2" spans="1:9" ht="25.5">
      <c r="A2" s="334" t="s">
        <v>480</v>
      </c>
      <c r="B2" s="355"/>
      <c r="C2" s="355"/>
      <c r="D2" s="355"/>
      <c r="E2" s="355"/>
      <c r="F2" s="355"/>
    </row>
    <row r="4" spans="1:9" ht="51">
      <c r="A4" s="319" t="s">
        <v>229</v>
      </c>
      <c r="B4" s="411" t="s">
        <v>383</v>
      </c>
      <c r="C4" s="412" t="s">
        <v>384</v>
      </c>
      <c r="D4" s="411" t="s">
        <v>385</v>
      </c>
      <c r="E4" s="412" t="s">
        <v>437</v>
      </c>
      <c r="F4" s="411" t="s">
        <v>438</v>
      </c>
      <c r="H4" s="399" t="s">
        <v>439</v>
      </c>
      <c r="I4" s="399" t="s">
        <v>440</v>
      </c>
    </row>
    <row r="5" spans="1:9" ht="14.25">
      <c r="A5" s="422" t="s">
        <v>469</v>
      </c>
      <c r="B5" s="413">
        <v>20046.985000000001</v>
      </c>
      <c r="C5" s="413">
        <v>11468.091</v>
      </c>
      <c r="D5" s="413">
        <v>153561.07500000001</v>
      </c>
      <c r="E5" s="413">
        <v>165029.166</v>
      </c>
      <c r="F5" s="413">
        <v>179823.72099999999</v>
      </c>
      <c r="G5" s="380"/>
      <c r="H5" s="381">
        <f>SUM(B5,E5)</f>
        <v>185076.15100000001</v>
      </c>
      <c r="I5" s="381">
        <f>H5-F5</f>
        <v>5252.4300000000221</v>
      </c>
    </row>
    <row r="6" spans="1:9" ht="14.25">
      <c r="A6" s="424" t="s">
        <v>41</v>
      </c>
      <c r="B6" s="414">
        <v>2574.9150000000004</v>
      </c>
      <c r="C6" s="414">
        <v>2103.1200000000003</v>
      </c>
      <c r="D6" s="414">
        <v>25377.924000000003</v>
      </c>
      <c r="E6" s="414">
        <v>27481.044000000002</v>
      </c>
      <c r="F6" s="414">
        <v>29179.648999999998</v>
      </c>
      <c r="G6" s="380"/>
      <c r="H6" s="380">
        <f>SUM(B6,E6)</f>
        <v>30055.959000000003</v>
      </c>
      <c r="I6" s="380">
        <f>H6-F6</f>
        <v>876.31000000000495</v>
      </c>
    </row>
    <row r="7" spans="1:9" ht="14.25">
      <c r="A7" s="425" t="s">
        <v>42</v>
      </c>
      <c r="B7" s="415">
        <v>3187.2959999999998</v>
      </c>
      <c r="C7" s="415">
        <v>2288.4049999999997</v>
      </c>
      <c r="D7" s="415">
        <v>28294.228999999999</v>
      </c>
      <c r="E7" s="415">
        <v>30582.633999999998</v>
      </c>
      <c r="F7" s="415">
        <v>33393.78</v>
      </c>
      <c r="G7" s="380"/>
      <c r="H7" s="380">
        <f>SUM(B7,E7)</f>
        <v>33769.93</v>
      </c>
      <c r="I7" s="380">
        <f>H7-F7</f>
        <v>376.15000000000146</v>
      </c>
    </row>
    <row r="8" spans="1:9" ht="14.25">
      <c r="A8" s="425" t="s">
        <v>43</v>
      </c>
      <c r="B8" s="415">
        <v>2626.66</v>
      </c>
      <c r="C8" s="415">
        <v>1480.4160000000002</v>
      </c>
      <c r="D8" s="415">
        <v>20760.600000000002</v>
      </c>
      <c r="E8" s="415">
        <v>22241.016000000003</v>
      </c>
      <c r="F8" s="415">
        <v>23860.792000000001</v>
      </c>
      <c r="G8" s="380"/>
      <c r="H8" s="380">
        <f>SUM(B8,E8)</f>
        <v>24867.676000000003</v>
      </c>
      <c r="I8" s="380">
        <f>H8-F8</f>
        <v>1006.8840000000018</v>
      </c>
    </row>
    <row r="9" spans="1:9" ht="14.25">
      <c r="A9" s="425" t="s">
        <v>44</v>
      </c>
      <c r="B9" s="415">
        <v>11658.114000000001</v>
      </c>
      <c r="C9" s="415">
        <v>5596.1500000000005</v>
      </c>
      <c r="D9" s="415">
        <v>79128.322</v>
      </c>
      <c r="E9" s="415">
        <v>84724.471999999994</v>
      </c>
      <c r="F9" s="415">
        <v>93389.5</v>
      </c>
      <c r="G9" s="380"/>
      <c r="H9" s="380">
        <f>SUM(B9,E9)</f>
        <v>96382.585999999996</v>
      </c>
      <c r="I9" s="380">
        <f>H9-F9</f>
        <v>2993.0859999999957</v>
      </c>
    </row>
    <row r="10" spans="1:9" ht="14.25">
      <c r="A10" s="203"/>
      <c r="B10" s="416"/>
      <c r="C10" s="416"/>
      <c r="D10" s="416"/>
      <c r="E10" s="416"/>
      <c r="F10" s="416"/>
      <c r="H10" s="380"/>
      <c r="I10" s="380"/>
    </row>
    <row r="11" spans="1:9" ht="14.25">
      <c r="A11" s="422" t="s">
        <v>490</v>
      </c>
      <c r="B11" s="413">
        <v>32233.588</v>
      </c>
      <c r="C11" s="413">
        <v>20971.198</v>
      </c>
      <c r="D11" s="413">
        <v>296173.66100000002</v>
      </c>
      <c r="E11" s="413">
        <v>317144.859</v>
      </c>
      <c r="F11" s="413">
        <v>336350.0039999999</v>
      </c>
      <c r="H11" s="381">
        <f t="shared" ref="H11:H31" si="0">SUM(B11,E11)</f>
        <v>349378.44699999999</v>
      </c>
      <c r="I11" s="381">
        <f t="shared" ref="I11:I31" si="1">H11-F11</f>
        <v>13028.443000000087</v>
      </c>
    </row>
    <row r="12" spans="1:9" ht="14.25">
      <c r="A12" s="425" t="s">
        <v>45</v>
      </c>
      <c r="B12" s="415">
        <v>1880.52</v>
      </c>
      <c r="C12" s="415">
        <v>1479.0720000000001</v>
      </c>
      <c r="D12" s="415">
        <v>16272.816000000001</v>
      </c>
      <c r="E12" s="415">
        <v>17751.887999999999</v>
      </c>
      <c r="F12" s="415">
        <v>18907.104000000003</v>
      </c>
      <c r="H12" s="380">
        <f t="shared" si="0"/>
        <v>19632.407999999999</v>
      </c>
      <c r="I12" s="380">
        <f t="shared" si="1"/>
        <v>725.30399999999645</v>
      </c>
    </row>
    <row r="13" spans="1:9" ht="14.25">
      <c r="A13" s="425" t="s">
        <v>46</v>
      </c>
      <c r="B13" s="415">
        <v>1870.4999999999998</v>
      </c>
      <c r="C13" s="415">
        <v>1245.798</v>
      </c>
      <c r="D13" s="415">
        <v>16842.192000000003</v>
      </c>
      <c r="E13" s="415">
        <v>18087.990000000002</v>
      </c>
      <c r="F13" s="415">
        <v>18919.41</v>
      </c>
      <c r="H13" s="380">
        <f t="shared" si="0"/>
        <v>19958.490000000002</v>
      </c>
      <c r="I13" s="380">
        <f t="shared" si="1"/>
        <v>1039.0800000000017</v>
      </c>
    </row>
    <row r="14" spans="1:9" ht="14.25">
      <c r="A14" s="425" t="s">
        <v>47</v>
      </c>
      <c r="B14" s="415">
        <v>220.941</v>
      </c>
      <c r="C14" s="415">
        <v>122.616</v>
      </c>
      <c r="D14" s="415">
        <v>2115.2040000000002</v>
      </c>
      <c r="E14" s="415">
        <v>2237.8200000000002</v>
      </c>
      <c r="F14" s="415">
        <v>2356.4639999999999</v>
      </c>
      <c r="H14" s="380">
        <f t="shared" si="0"/>
        <v>2458.761</v>
      </c>
      <c r="I14" s="380">
        <f t="shared" si="1"/>
        <v>102.29700000000003</v>
      </c>
    </row>
    <row r="15" spans="1:9" ht="14.25">
      <c r="A15" s="425" t="s">
        <v>48</v>
      </c>
      <c r="B15" s="415">
        <v>810.01600000000008</v>
      </c>
      <c r="C15" s="415">
        <v>385.89300000000003</v>
      </c>
      <c r="D15" s="415">
        <v>6434.0940000000001</v>
      </c>
      <c r="E15" s="415">
        <v>6819.9870000000001</v>
      </c>
      <c r="F15" s="415">
        <v>7343.8700000000008</v>
      </c>
      <c r="H15" s="380">
        <f t="shared" si="0"/>
        <v>7630.0030000000006</v>
      </c>
      <c r="I15" s="380">
        <f t="shared" si="1"/>
        <v>286.13299999999981</v>
      </c>
    </row>
    <row r="16" spans="1:9" ht="14.25">
      <c r="A16" s="425" t="s">
        <v>49</v>
      </c>
      <c r="B16" s="415">
        <v>1874.508</v>
      </c>
      <c r="C16" s="415">
        <v>1047.6519999999998</v>
      </c>
      <c r="D16" s="415">
        <v>16820.052</v>
      </c>
      <c r="E16" s="415">
        <v>17867.703999999998</v>
      </c>
      <c r="F16" s="415">
        <v>19044.471999999998</v>
      </c>
      <c r="H16" s="380">
        <f t="shared" si="0"/>
        <v>19742.212</v>
      </c>
      <c r="I16" s="380">
        <f t="shared" si="1"/>
        <v>697.7400000000016</v>
      </c>
    </row>
    <row r="17" spans="1:9" ht="14.25">
      <c r="A17" s="425" t="s">
        <v>60</v>
      </c>
      <c r="B17" s="415">
        <v>480.25600000000003</v>
      </c>
      <c r="C17" s="415">
        <v>246.60499999999999</v>
      </c>
      <c r="D17" s="415">
        <v>3819.355</v>
      </c>
      <c r="E17" s="415">
        <v>4065.96</v>
      </c>
      <c r="F17" s="415">
        <v>4375.4000000000005</v>
      </c>
      <c r="H17" s="380">
        <f t="shared" si="0"/>
        <v>4546.2160000000003</v>
      </c>
      <c r="I17" s="380">
        <f t="shared" si="1"/>
        <v>170.8159999999998</v>
      </c>
    </row>
    <row r="18" spans="1:9" ht="14.25">
      <c r="A18" s="425" t="s">
        <v>61</v>
      </c>
      <c r="B18" s="415">
        <v>3161.8329999999996</v>
      </c>
      <c r="C18" s="415">
        <v>2694.6570000000002</v>
      </c>
      <c r="D18" s="415">
        <v>34886.607000000004</v>
      </c>
      <c r="E18" s="415">
        <v>37581.264000000003</v>
      </c>
      <c r="F18" s="415">
        <v>39290.239999999998</v>
      </c>
      <c r="H18" s="380">
        <f t="shared" si="0"/>
        <v>40743.097000000002</v>
      </c>
      <c r="I18" s="380">
        <f t="shared" si="1"/>
        <v>1452.8570000000036</v>
      </c>
    </row>
    <row r="19" spans="1:9" ht="14.25">
      <c r="A19" s="425" t="s">
        <v>50</v>
      </c>
      <c r="B19" s="415">
        <v>715.86300000000006</v>
      </c>
      <c r="C19" s="415">
        <v>473.92800000000005</v>
      </c>
      <c r="D19" s="415">
        <v>6721.5120000000006</v>
      </c>
      <c r="E19" s="415">
        <v>7195.4400000000005</v>
      </c>
      <c r="F19" s="415">
        <v>7643.6820000000007</v>
      </c>
      <c r="H19" s="380">
        <f t="shared" si="0"/>
        <v>7911.3030000000008</v>
      </c>
      <c r="I19" s="380">
        <f t="shared" si="1"/>
        <v>267.62100000000009</v>
      </c>
    </row>
    <row r="20" spans="1:9" ht="14.25">
      <c r="A20" s="425" t="s">
        <v>51</v>
      </c>
      <c r="B20" s="415">
        <v>563.52799999999991</v>
      </c>
      <c r="C20" s="415">
        <v>394.95</v>
      </c>
      <c r="D20" s="415">
        <v>5517.3</v>
      </c>
      <c r="E20" s="415">
        <v>5912.25</v>
      </c>
      <c r="F20" s="415">
        <v>6184.75</v>
      </c>
      <c r="H20" s="380">
        <f t="shared" si="0"/>
        <v>6475.7780000000002</v>
      </c>
      <c r="I20" s="380">
        <f t="shared" si="1"/>
        <v>291.02800000000025</v>
      </c>
    </row>
    <row r="21" spans="1:9" ht="14.25">
      <c r="A21" s="425" t="s">
        <v>52</v>
      </c>
      <c r="B21" s="415">
        <v>463.78800000000007</v>
      </c>
      <c r="C21" s="415">
        <v>299.13599999999997</v>
      </c>
      <c r="D21" s="415">
        <v>4517.5439999999999</v>
      </c>
      <c r="E21" s="415">
        <v>4816.68</v>
      </c>
      <c r="F21" s="415">
        <v>5092.4369999999999</v>
      </c>
      <c r="H21" s="380">
        <f t="shared" si="0"/>
        <v>5280.4680000000008</v>
      </c>
      <c r="I21" s="380">
        <f t="shared" si="1"/>
        <v>188.03100000000086</v>
      </c>
    </row>
    <row r="22" spans="1:9" ht="14.25">
      <c r="A22" s="425" t="s">
        <v>100</v>
      </c>
      <c r="B22" s="415">
        <v>12065.13</v>
      </c>
      <c r="C22" s="415">
        <v>6535.8280000000004</v>
      </c>
      <c r="D22" s="415">
        <v>109134.39200000001</v>
      </c>
      <c r="E22" s="415">
        <v>115670.22</v>
      </c>
      <c r="F22" s="415">
        <v>123689.28</v>
      </c>
      <c r="H22" s="380">
        <f t="shared" si="0"/>
        <v>127735.35</v>
      </c>
      <c r="I22" s="380">
        <f t="shared" si="1"/>
        <v>4046.070000000007</v>
      </c>
    </row>
    <row r="23" spans="1:9" ht="14.25">
      <c r="A23" s="425" t="s">
        <v>53</v>
      </c>
      <c r="B23" s="415">
        <v>1178.1120000000001</v>
      </c>
      <c r="C23" s="415">
        <v>1529.0260000000001</v>
      </c>
      <c r="D23" s="415">
        <v>10647.915999999999</v>
      </c>
      <c r="E23" s="415">
        <v>12176.941999999999</v>
      </c>
      <c r="F23" s="415">
        <v>12736.568000000001</v>
      </c>
      <c r="H23" s="380">
        <f t="shared" si="0"/>
        <v>13355.054</v>
      </c>
      <c r="I23" s="380">
        <f t="shared" si="1"/>
        <v>618.48599999999897</v>
      </c>
    </row>
    <row r="24" spans="1:9" ht="14.25">
      <c r="A24" s="425" t="s">
        <v>54</v>
      </c>
      <c r="B24" s="415">
        <v>357.70800000000003</v>
      </c>
      <c r="C24" s="415">
        <v>195.00299999999999</v>
      </c>
      <c r="D24" s="415">
        <v>3209.5829999999996</v>
      </c>
      <c r="E24" s="415">
        <v>3404.5859999999998</v>
      </c>
      <c r="F24" s="415">
        <v>3629.9249999999997</v>
      </c>
      <c r="H24" s="380">
        <f t="shared" si="0"/>
        <v>3762.2939999999999</v>
      </c>
      <c r="I24" s="380">
        <f t="shared" si="1"/>
        <v>132.36900000000014</v>
      </c>
    </row>
    <row r="25" spans="1:9" ht="14.25">
      <c r="A25" s="425" t="s">
        <v>62</v>
      </c>
      <c r="B25" s="415">
        <v>726.86400000000003</v>
      </c>
      <c r="C25" s="415">
        <v>537.73699999999997</v>
      </c>
      <c r="D25" s="415">
        <v>8385.3720000000012</v>
      </c>
      <c r="E25" s="415">
        <v>8923.1090000000004</v>
      </c>
      <c r="F25" s="415">
        <v>9294.8379999999997</v>
      </c>
      <c r="H25" s="380">
        <f t="shared" si="0"/>
        <v>9649.973</v>
      </c>
      <c r="I25" s="380">
        <f t="shared" si="1"/>
        <v>355.13500000000022</v>
      </c>
    </row>
    <row r="26" spans="1:9" ht="14.25">
      <c r="A26" s="425" t="s">
        <v>55</v>
      </c>
      <c r="B26" s="415">
        <v>1381.9</v>
      </c>
      <c r="C26" s="415">
        <v>989.5200000000001</v>
      </c>
      <c r="D26" s="415">
        <v>13488.216</v>
      </c>
      <c r="E26" s="415">
        <v>14477.736000000001</v>
      </c>
      <c r="F26" s="415">
        <v>15334.272000000001</v>
      </c>
      <c r="H26" s="380">
        <f t="shared" si="0"/>
        <v>15859.636</v>
      </c>
      <c r="I26" s="380">
        <f t="shared" si="1"/>
        <v>525.36399999999958</v>
      </c>
    </row>
    <row r="27" spans="1:9" ht="14.25">
      <c r="A27" s="425" t="s">
        <v>56</v>
      </c>
      <c r="B27" s="415">
        <v>600.85800000000006</v>
      </c>
      <c r="C27" s="415">
        <v>381.57</v>
      </c>
      <c r="D27" s="415">
        <v>5668.8819999999996</v>
      </c>
      <c r="E27" s="415">
        <v>6050.4519999999993</v>
      </c>
      <c r="F27" s="415">
        <v>6424.7300000000005</v>
      </c>
      <c r="H27" s="380">
        <f t="shared" si="0"/>
        <v>6651.3099999999995</v>
      </c>
      <c r="I27" s="380">
        <f t="shared" si="1"/>
        <v>226.57999999999902</v>
      </c>
    </row>
    <row r="28" spans="1:9" ht="14.25">
      <c r="A28" s="425" t="s">
        <v>63</v>
      </c>
      <c r="B28" s="415">
        <v>371.26499999999999</v>
      </c>
      <c r="C28" s="415">
        <v>195.93199999999999</v>
      </c>
      <c r="D28" s="415">
        <v>3921.9979999999996</v>
      </c>
      <c r="E28" s="415">
        <v>4117.9299999999994</v>
      </c>
      <c r="F28" s="415">
        <v>4366.04</v>
      </c>
      <c r="H28" s="380">
        <f t="shared" si="0"/>
        <v>4489.1949999999997</v>
      </c>
      <c r="I28" s="380">
        <f t="shared" si="1"/>
        <v>123.15499999999975</v>
      </c>
    </row>
    <row r="29" spans="1:9" ht="14.25">
      <c r="A29" s="425" t="s">
        <v>57</v>
      </c>
      <c r="B29" s="415">
        <v>2868.9</v>
      </c>
      <c r="C29" s="415">
        <v>1776.1769999999999</v>
      </c>
      <c r="D29" s="415">
        <v>21523.734</v>
      </c>
      <c r="E29" s="415">
        <v>23299.911</v>
      </c>
      <c r="F29" s="415">
        <v>24612.546000000002</v>
      </c>
      <c r="H29" s="380">
        <f t="shared" si="0"/>
        <v>26168.811000000002</v>
      </c>
      <c r="I29" s="380">
        <f t="shared" si="1"/>
        <v>1556.2649999999994</v>
      </c>
    </row>
    <row r="30" spans="1:9" ht="14.25">
      <c r="A30" s="425" t="s">
        <v>58</v>
      </c>
      <c r="B30" s="415">
        <v>423.69600000000003</v>
      </c>
      <c r="C30" s="415">
        <v>325.05</v>
      </c>
      <c r="D30" s="415">
        <v>4125.99</v>
      </c>
      <c r="E30" s="415">
        <v>4451.04</v>
      </c>
      <c r="F30" s="415">
        <v>4725.9960000000001</v>
      </c>
      <c r="H30" s="380">
        <f t="shared" si="0"/>
        <v>4874.7359999999999</v>
      </c>
      <c r="I30" s="380">
        <f t="shared" si="1"/>
        <v>148.73999999999978</v>
      </c>
    </row>
    <row r="31" spans="1:9" ht="14.25">
      <c r="A31" s="425" t="s">
        <v>59</v>
      </c>
      <c r="B31" s="415">
        <v>217.40199999999999</v>
      </c>
      <c r="C31" s="415">
        <v>115.04799999999999</v>
      </c>
      <c r="D31" s="415">
        <v>2120.9019999999996</v>
      </c>
      <c r="E31" s="415">
        <v>2235.9499999999994</v>
      </c>
      <c r="F31" s="415">
        <v>2377.98</v>
      </c>
      <c r="H31" s="380">
        <f t="shared" si="0"/>
        <v>2453.3519999999994</v>
      </c>
      <c r="I31" s="380">
        <f t="shared" si="1"/>
        <v>75.371999999999389</v>
      </c>
    </row>
    <row r="32" spans="1:9" ht="14.25">
      <c r="A32" s="203"/>
      <c r="B32" s="416"/>
      <c r="C32" s="416"/>
      <c r="D32" s="416"/>
      <c r="E32" s="416"/>
      <c r="F32" s="416"/>
      <c r="H32" s="380"/>
      <c r="I32" s="380"/>
    </row>
    <row r="33" spans="1:9" ht="14.25">
      <c r="A33" s="422" t="s">
        <v>15</v>
      </c>
      <c r="B33" s="413">
        <v>7539.63</v>
      </c>
      <c r="C33" s="413">
        <v>6150.2219999999998</v>
      </c>
      <c r="D33" s="413">
        <v>75650.854999999996</v>
      </c>
      <c r="E33" s="413">
        <v>81801.077000000005</v>
      </c>
      <c r="F33" s="413">
        <v>85867.90400000001</v>
      </c>
      <c r="H33" s="381">
        <f t="shared" ref="H33:H43" si="2">SUM(B33,E33)</f>
        <v>89340.707000000009</v>
      </c>
      <c r="I33" s="381">
        <f t="shared" ref="I33:I43" si="3">H33-F33</f>
        <v>3472.8029999999999</v>
      </c>
    </row>
    <row r="34" spans="1:9" ht="14.25">
      <c r="A34" s="426" t="s">
        <v>88</v>
      </c>
      <c r="B34" s="417">
        <v>407.79</v>
      </c>
      <c r="C34" s="417">
        <v>270.59899999999999</v>
      </c>
      <c r="D34" s="417">
        <v>4100.866</v>
      </c>
      <c r="E34" s="417">
        <v>4371.4650000000001</v>
      </c>
      <c r="F34" s="417">
        <v>4637.7900000000009</v>
      </c>
      <c r="H34" s="380">
        <f t="shared" si="2"/>
        <v>4779.2550000000001</v>
      </c>
      <c r="I34" s="380">
        <f t="shared" si="3"/>
        <v>141.46499999999924</v>
      </c>
    </row>
    <row r="35" spans="1:9" ht="14.25">
      <c r="A35" s="427" t="s">
        <v>90</v>
      </c>
      <c r="B35" s="418">
        <v>997.1350000000001</v>
      </c>
      <c r="C35" s="418">
        <v>619.88400000000001</v>
      </c>
      <c r="D35" s="418">
        <v>8343.2479999999996</v>
      </c>
      <c r="E35" s="418">
        <v>8963.1319999999996</v>
      </c>
      <c r="F35" s="418">
        <v>9647.6489999999994</v>
      </c>
      <c r="H35" s="380">
        <f t="shared" si="2"/>
        <v>9960.2669999999998</v>
      </c>
      <c r="I35" s="380">
        <f t="shared" si="3"/>
        <v>312.61800000000039</v>
      </c>
    </row>
    <row r="36" spans="1:9" ht="14.25">
      <c r="A36" s="427" t="s">
        <v>91</v>
      </c>
      <c r="B36" s="418">
        <v>421.09200000000004</v>
      </c>
      <c r="C36" s="418">
        <v>332.96</v>
      </c>
      <c r="D36" s="418">
        <v>4423.3599999999997</v>
      </c>
      <c r="E36" s="418">
        <v>4756.32</v>
      </c>
      <c r="F36" s="418">
        <v>5048.6310000000003</v>
      </c>
      <c r="H36" s="380">
        <f t="shared" si="2"/>
        <v>5177.4119999999994</v>
      </c>
      <c r="I36" s="380">
        <f t="shared" si="3"/>
        <v>128.78099999999904</v>
      </c>
    </row>
    <row r="37" spans="1:9" ht="14.25">
      <c r="A37" s="427" t="s">
        <v>92</v>
      </c>
      <c r="B37" s="418">
        <v>309.91000000000003</v>
      </c>
      <c r="C37" s="418">
        <v>184.92600000000002</v>
      </c>
      <c r="D37" s="418">
        <v>2943.5840000000003</v>
      </c>
      <c r="E37" s="418">
        <v>3128.51</v>
      </c>
      <c r="F37" s="418">
        <v>3291.0360000000001</v>
      </c>
      <c r="H37" s="380">
        <f t="shared" si="2"/>
        <v>3438.42</v>
      </c>
      <c r="I37" s="380">
        <f t="shared" si="3"/>
        <v>147.38400000000001</v>
      </c>
    </row>
    <row r="38" spans="1:9" ht="14.25">
      <c r="A38" s="427" t="s">
        <v>93</v>
      </c>
      <c r="B38" s="418">
        <v>521.27099999999996</v>
      </c>
      <c r="C38" s="418">
        <v>371.346</v>
      </c>
      <c r="D38" s="418">
        <v>5343.0990000000002</v>
      </c>
      <c r="E38" s="418">
        <v>5714.4449999999997</v>
      </c>
      <c r="F38" s="418">
        <v>6035.8519999999999</v>
      </c>
      <c r="H38" s="380">
        <f t="shared" si="2"/>
        <v>6235.7159999999994</v>
      </c>
      <c r="I38" s="380">
        <f t="shared" si="3"/>
        <v>199.86399999999958</v>
      </c>
    </row>
    <row r="39" spans="1:9" ht="14.25">
      <c r="A39" s="427" t="s">
        <v>95</v>
      </c>
      <c r="B39" s="418">
        <v>1601.6490000000001</v>
      </c>
      <c r="C39" s="418">
        <v>1917.8040000000001</v>
      </c>
      <c r="D39" s="418">
        <v>17033.66</v>
      </c>
      <c r="E39" s="418">
        <v>18951.464</v>
      </c>
      <c r="F39" s="418">
        <v>19434.435000000001</v>
      </c>
      <c r="H39" s="380">
        <f t="shared" si="2"/>
        <v>20553.113000000001</v>
      </c>
      <c r="I39" s="380">
        <f t="shared" si="3"/>
        <v>1118.6779999999999</v>
      </c>
    </row>
    <row r="40" spans="1:9" ht="14.25">
      <c r="A40" s="427" t="s">
        <v>96</v>
      </c>
      <c r="B40" s="418">
        <v>861.68700000000001</v>
      </c>
      <c r="C40" s="418">
        <v>677.04</v>
      </c>
      <c r="D40" s="418">
        <v>8285.76</v>
      </c>
      <c r="E40" s="418">
        <v>8962.7999999999993</v>
      </c>
      <c r="F40" s="418">
        <v>9438.7279999999992</v>
      </c>
      <c r="H40" s="380">
        <f t="shared" si="2"/>
        <v>9824.4869999999992</v>
      </c>
      <c r="I40" s="380">
        <f t="shared" si="3"/>
        <v>385.75900000000001</v>
      </c>
    </row>
    <row r="41" spans="1:9" ht="14.25">
      <c r="A41" s="427" t="s">
        <v>97</v>
      </c>
      <c r="B41" s="418">
        <v>325.52199999999999</v>
      </c>
      <c r="C41" s="418">
        <v>238.238</v>
      </c>
      <c r="D41" s="418">
        <v>3610.0349999999999</v>
      </c>
      <c r="E41" s="418">
        <v>3848.2729999999997</v>
      </c>
      <c r="F41" s="418">
        <v>3988.2249999999999</v>
      </c>
      <c r="H41" s="380">
        <f t="shared" si="2"/>
        <v>4173.7950000000001</v>
      </c>
      <c r="I41" s="380">
        <f t="shared" si="3"/>
        <v>185.57000000000016</v>
      </c>
    </row>
    <row r="42" spans="1:9" ht="14.25">
      <c r="A42" s="427" t="s">
        <v>98</v>
      </c>
      <c r="B42" s="418">
        <v>1252.146</v>
      </c>
      <c r="C42" s="418">
        <v>981.2879999999999</v>
      </c>
      <c r="D42" s="418">
        <v>13193.711999999998</v>
      </c>
      <c r="E42" s="418">
        <v>14174.999999999998</v>
      </c>
      <c r="F42" s="418">
        <v>14881.992000000002</v>
      </c>
      <c r="H42" s="380">
        <f t="shared" si="2"/>
        <v>15427.145999999999</v>
      </c>
      <c r="I42" s="380">
        <f t="shared" si="3"/>
        <v>545.15399999999681</v>
      </c>
    </row>
    <row r="43" spans="1:9" ht="14.25">
      <c r="A43" s="427" t="s">
        <v>99</v>
      </c>
      <c r="B43" s="418">
        <v>841.42800000000011</v>
      </c>
      <c r="C43" s="418">
        <v>556.13699999999994</v>
      </c>
      <c r="D43" s="418">
        <v>8373.530999999999</v>
      </c>
      <c r="E43" s="418">
        <v>8929.6679999999997</v>
      </c>
      <c r="F43" s="418">
        <v>9463.5659999999989</v>
      </c>
      <c r="H43" s="380">
        <f t="shared" si="2"/>
        <v>9771.0959999999995</v>
      </c>
      <c r="I43" s="380">
        <f t="shared" si="3"/>
        <v>307.53000000000065</v>
      </c>
    </row>
    <row r="44" spans="1:9" ht="14.25">
      <c r="A44" s="203"/>
      <c r="B44" s="416"/>
      <c r="C44" s="416"/>
      <c r="D44" s="416"/>
      <c r="E44" s="416"/>
      <c r="F44" s="416"/>
      <c r="H44" s="380"/>
      <c r="I44" s="380"/>
    </row>
    <row r="45" spans="1:9" ht="14.25">
      <c r="A45" s="422" t="s">
        <v>491</v>
      </c>
      <c r="B45" s="413">
        <v>10309.24</v>
      </c>
      <c r="C45" s="413">
        <v>6598.3239999999996</v>
      </c>
      <c r="D45" s="413">
        <v>92100.754000000015</v>
      </c>
      <c r="E45" s="413">
        <v>98699.077999999994</v>
      </c>
      <c r="F45" s="413">
        <v>105366.338</v>
      </c>
      <c r="H45" s="381">
        <f t="shared" ref="H45:H54" si="4">SUM(B45,E45)</f>
        <v>109008.318</v>
      </c>
      <c r="I45" s="381">
        <f t="shared" ref="I45:I54" si="5">H45-F45</f>
        <v>3641.9799999999959</v>
      </c>
    </row>
    <row r="46" spans="1:9" ht="14.25">
      <c r="A46" s="425" t="s">
        <v>101</v>
      </c>
      <c r="B46" s="415">
        <v>771.7829999999999</v>
      </c>
      <c r="C46" s="415">
        <v>717.36300000000006</v>
      </c>
      <c r="D46" s="415">
        <v>8234.5969999999998</v>
      </c>
      <c r="E46" s="415">
        <v>8951.9599999999991</v>
      </c>
      <c r="F46" s="415">
        <v>9527.2080000000005</v>
      </c>
      <c r="H46" s="380">
        <f t="shared" si="4"/>
        <v>9723.7429999999986</v>
      </c>
      <c r="I46" s="380">
        <f t="shared" si="5"/>
        <v>196.53499999999804</v>
      </c>
    </row>
    <row r="47" spans="1:9" ht="14.25">
      <c r="A47" s="425" t="s">
        <v>102</v>
      </c>
      <c r="B47" s="415">
        <v>1941.258</v>
      </c>
      <c r="C47" s="415">
        <v>1061.9560000000001</v>
      </c>
      <c r="D47" s="415">
        <v>14503.524000000001</v>
      </c>
      <c r="E47" s="415">
        <v>15565.480000000001</v>
      </c>
      <c r="F47" s="415">
        <v>16963.29</v>
      </c>
      <c r="H47" s="380">
        <f t="shared" si="4"/>
        <v>17506.738000000001</v>
      </c>
      <c r="I47" s="380">
        <f t="shared" si="5"/>
        <v>543.44800000000032</v>
      </c>
    </row>
    <row r="48" spans="1:9" ht="14.25">
      <c r="A48" s="425" t="s">
        <v>103</v>
      </c>
      <c r="B48" s="415">
        <v>918.00800000000004</v>
      </c>
      <c r="C48" s="415">
        <v>690.04600000000005</v>
      </c>
      <c r="D48" s="415">
        <v>8979.7749999999996</v>
      </c>
      <c r="E48" s="415">
        <v>9669.8209999999999</v>
      </c>
      <c r="F48" s="415">
        <v>10180.665000000001</v>
      </c>
      <c r="H48" s="380">
        <f t="shared" si="4"/>
        <v>10587.829</v>
      </c>
      <c r="I48" s="380">
        <f t="shared" si="5"/>
        <v>407.16399999999885</v>
      </c>
    </row>
    <row r="49" spans="1:9" ht="14.25">
      <c r="A49" s="425" t="s">
        <v>104</v>
      </c>
      <c r="B49" s="415">
        <v>2080.4500000000003</v>
      </c>
      <c r="C49" s="415">
        <v>1349</v>
      </c>
      <c r="D49" s="415">
        <v>19490.351999999999</v>
      </c>
      <c r="E49" s="415">
        <v>20839.351999999999</v>
      </c>
      <c r="F49" s="415">
        <v>22160.04</v>
      </c>
      <c r="H49" s="380">
        <f t="shared" si="4"/>
        <v>22919.802</v>
      </c>
      <c r="I49" s="380">
        <f t="shared" si="5"/>
        <v>759.76199999999881</v>
      </c>
    </row>
    <row r="50" spans="1:9" ht="14.25">
      <c r="A50" s="425" t="s">
        <v>105</v>
      </c>
      <c r="B50" s="415">
        <v>1971.12</v>
      </c>
      <c r="C50" s="415">
        <v>1105.77</v>
      </c>
      <c r="D50" s="415">
        <v>15562.414999999999</v>
      </c>
      <c r="E50" s="415">
        <v>16668.184999999998</v>
      </c>
      <c r="F50" s="415">
        <v>17884.404999999999</v>
      </c>
      <c r="H50" s="380">
        <f t="shared" si="4"/>
        <v>18639.304999999997</v>
      </c>
      <c r="I50" s="380">
        <f t="shared" si="5"/>
        <v>754.89999999999782</v>
      </c>
    </row>
    <row r="51" spans="1:9" ht="14.25">
      <c r="A51" s="425" t="s">
        <v>106</v>
      </c>
      <c r="B51" s="415">
        <v>786.52</v>
      </c>
      <c r="C51" s="415">
        <v>485.73999999999995</v>
      </c>
      <c r="D51" s="415">
        <v>7637.74</v>
      </c>
      <c r="E51" s="415">
        <v>8123.48</v>
      </c>
      <c r="F51" s="415">
        <v>8600.64</v>
      </c>
      <c r="H51" s="380">
        <f t="shared" si="4"/>
        <v>8910</v>
      </c>
      <c r="I51" s="380">
        <f t="shared" si="5"/>
        <v>309.36000000000058</v>
      </c>
    </row>
    <row r="52" spans="1:9" ht="14.25">
      <c r="A52" s="425" t="s">
        <v>135</v>
      </c>
      <c r="B52" s="415">
        <v>622.40400000000011</v>
      </c>
      <c r="C52" s="415">
        <v>424.59300000000002</v>
      </c>
      <c r="D52" s="415">
        <v>6478.3350000000009</v>
      </c>
      <c r="E52" s="415">
        <v>6902.9280000000008</v>
      </c>
      <c r="F52" s="415">
        <v>7265.1600000000008</v>
      </c>
      <c r="H52" s="380">
        <f t="shared" si="4"/>
        <v>7525.3320000000012</v>
      </c>
      <c r="I52" s="380">
        <f t="shared" si="5"/>
        <v>260.17200000000048</v>
      </c>
    </row>
    <row r="53" spans="1:9" ht="14.25">
      <c r="A53" s="425" t="s">
        <v>107</v>
      </c>
      <c r="B53" s="415">
        <v>796.88700000000006</v>
      </c>
      <c r="C53" s="415">
        <v>531.39199999999994</v>
      </c>
      <c r="D53" s="415">
        <v>7473.7119999999995</v>
      </c>
      <c r="E53" s="415">
        <v>8005.1039999999994</v>
      </c>
      <c r="F53" s="415">
        <v>8535.56</v>
      </c>
      <c r="H53" s="380">
        <f t="shared" si="4"/>
        <v>8801.991</v>
      </c>
      <c r="I53" s="380">
        <f t="shared" si="5"/>
        <v>266.43100000000049</v>
      </c>
    </row>
    <row r="54" spans="1:9" ht="14.25">
      <c r="A54" s="425" t="s">
        <v>108</v>
      </c>
      <c r="B54" s="415">
        <v>420.81</v>
      </c>
      <c r="C54" s="415">
        <v>232.46399999999997</v>
      </c>
      <c r="D54" s="415">
        <v>3740.3039999999996</v>
      </c>
      <c r="E54" s="415">
        <v>3972.7679999999996</v>
      </c>
      <c r="F54" s="415">
        <v>4249.37</v>
      </c>
      <c r="H54" s="380">
        <f t="shared" si="4"/>
        <v>4393.5779999999995</v>
      </c>
      <c r="I54" s="380">
        <f t="shared" si="5"/>
        <v>144.20799999999963</v>
      </c>
    </row>
    <row r="55" spans="1:9" ht="14.25">
      <c r="A55" s="203"/>
      <c r="B55" s="416"/>
      <c r="C55" s="416"/>
      <c r="D55" s="416"/>
      <c r="E55" s="416"/>
      <c r="F55" s="416"/>
      <c r="H55" s="380"/>
      <c r="I55" s="380"/>
    </row>
    <row r="56" spans="1:9" ht="14.25">
      <c r="A56" s="422" t="s">
        <v>17</v>
      </c>
      <c r="B56" s="413">
        <v>11098.419</v>
      </c>
      <c r="C56" s="413">
        <v>8567.1849999999995</v>
      </c>
      <c r="D56" s="413">
        <v>103379.08100000001</v>
      </c>
      <c r="E56" s="413">
        <v>111946.26599999999</v>
      </c>
      <c r="F56" s="413">
        <v>118936.914</v>
      </c>
      <c r="H56" s="381">
        <f t="shared" ref="H56:H65" si="6">SUM(B56,E56)</f>
        <v>123044.68499999998</v>
      </c>
      <c r="I56" s="381">
        <f t="shared" ref="I56:I65" si="7">H56-F56</f>
        <v>4107.7709999999788</v>
      </c>
    </row>
    <row r="57" spans="1:9" ht="14.25">
      <c r="A57" s="426" t="s">
        <v>109</v>
      </c>
      <c r="B57" s="417">
        <v>198.904</v>
      </c>
      <c r="C57" s="417">
        <v>161.18600000000001</v>
      </c>
      <c r="D57" s="417">
        <v>2442.192</v>
      </c>
      <c r="E57" s="417">
        <v>2603.3780000000002</v>
      </c>
      <c r="F57" s="417">
        <v>2668.61</v>
      </c>
      <c r="H57" s="380">
        <f t="shared" si="6"/>
        <v>2802.2820000000002</v>
      </c>
      <c r="I57" s="380">
        <f t="shared" si="7"/>
        <v>133.67200000000003</v>
      </c>
    </row>
    <row r="58" spans="1:9" ht="14.25">
      <c r="A58" s="427" t="s">
        <v>110</v>
      </c>
      <c r="B58" s="418">
        <v>4594.8609999999999</v>
      </c>
      <c r="C58" s="418">
        <v>3967.0400000000004</v>
      </c>
      <c r="D58" s="418">
        <v>43962.100000000006</v>
      </c>
      <c r="E58" s="418">
        <v>47929.140000000007</v>
      </c>
      <c r="F58" s="418">
        <v>50613.11</v>
      </c>
      <c r="H58" s="380">
        <f t="shared" si="6"/>
        <v>52524.001000000004</v>
      </c>
      <c r="I58" s="380">
        <f t="shared" si="7"/>
        <v>1910.8910000000033</v>
      </c>
    </row>
    <row r="59" spans="1:9" ht="14.25">
      <c r="A59" s="427" t="s">
        <v>111</v>
      </c>
      <c r="B59" s="418">
        <v>1570.443</v>
      </c>
      <c r="C59" s="418">
        <v>1168.5119999999999</v>
      </c>
      <c r="D59" s="418">
        <v>13625.838</v>
      </c>
      <c r="E59" s="418">
        <v>14794.35</v>
      </c>
      <c r="F59" s="418">
        <v>15882.020000000002</v>
      </c>
      <c r="H59" s="380">
        <f t="shared" si="6"/>
        <v>16364.793</v>
      </c>
      <c r="I59" s="380">
        <f t="shared" si="7"/>
        <v>482.77299999999741</v>
      </c>
    </row>
    <row r="60" spans="1:9" ht="14.25">
      <c r="A60" s="427" t="s">
        <v>112</v>
      </c>
      <c r="B60" s="418">
        <v>712.6</v>
      </c>
      <c r="C60" s="418">
        <v>492.92299999999994</v>
      </c>
      <c r="D60" s="418">
        <v>6115.6679999999997</v>
      </c>
      <c r="E60" s="418">
        <v>6608.5909999999994</v>
      </c>
      <c r="F60" s="418">
        <v>7261.5329999999994</v>
      </c>
      <c r="H60" s="380">
        <f t="shared" si="6"/>
        <v>7321.1909999999998</v>
      </c>
      <c r="I60" s="380">
        <f t="shared" si="7"/>
        <v>59.658000000000357</v>
      </c>
    </row>
    <row r="61" spans="1:9" ht="14.25">
      <c r="A61" s="427" t="s">
        <v>113</v>
      </c>
      <c r="B61" s="418">
        <v>844.53600000000006</v>
      </c>
      <c r="C61" s="418">
        <v>495.46500000000003</v>
      </c>
      <c r="D61" s="418">
        <v>6862.7430000000004</v>
      </c>
      <c r="E61" s="418">
        <v>7358.2080000000005</v>
      </c>
      <c r="F61" s="418">
        <v>8003.4480000000003</v>
      </c>
      <c r="H61" s="380">
        <f t="shared" si="6"/>
        <v>8202.7440000000006</v>
      </c>
      <c r="I61" s="380">
        <f t="shared" si="7"/>
        <v>199.29600000000028</v>
      </c>
    </row>
    <row r="62" spans="1:9" ht="14.25">
      <c r="A62" s="427" t="s">
        <v>114</v>
      </c>
      <c r="B62" s="418">
        <v>319.47500000000002</v>
      </c>
      <c r="C62" s="418">
        <v>225.47699999999998</v>
      </c>
      <c r="D62" s="418">
        <v>2795.3099999999995</v>
      </c>
      <c r="E62" s="418">
        <v>3020.7869999999994</v>
      </c>
      <c r="F62" s="418">
        <v>3218.2919999999999</v>
      </c>
      <c r="H62" s="380">
        <f t="shared" si="6"/>
        <v>3340.2619999999993</v>
      </c>
      <c r="I62" s="380">
        <f t="shared" si="7"/>
        <v>121.96999999999935</v>
      </c>
    </row>
    <row r="63" spans="1:9" ht="14.25">
      <c r="A63" s="427" t="s">
        <v>115</v>
      </c>
      <c r="B63" s="418">
        <v>1040.6399999999999</v>
      </c>
      <c r="C63" s="418">
        <v>497.85199999999998</v>
      </c>
      <c r="D63" s="418">
        <v>7208.771999999999</v>
      </c>
      <c r="E63" s="418">
        <v>7706.6239999999989</v>
      </c>
      <c r="F63" s="418">
        <v>8522.3040000000001</v>
      </c>
      <c r="H63" s="380">
        <f t="shared" si="6"/>
        <v>8747.2639999999992</v>
      </c>
      <c r="I63" s="380">
        <f t="shared" si="7"/>
        <v>224.95999999999913</v>
      </c>
    </row>
    <row r="64" spans="1:9" ht="14.25">
      <c r="A64" s="427" t="s">
        <v>116</v>
      </c>
      <c r="B64" s="418">
        <v>1429.2720000000002</v>
      </c>
      <c r="C64" s="418">
        <v>1196.3809999999999</v>
      </c>
      <c r="D64" s="418">
        <v>16159.515999999998</v>
      </c>
      <c r="E64" s="418">
        <v>17355.896999999997</v>
      </c>
      <c r="F64" s="418">
        <v>17987.332999999999</v>
      </c>
      <c r="H64" s="380">
        <f t="shared" si="6"/>
        <v>18785.168999999998</v>
      </c>
      <c r="I64" s="380">
        <f t="shared" si="7"/>
        <v>797.83599999999933</v>
      </c>
    </row>
    <row r="65" spans="1:9" ht="14.25">
      <c r="A65" s="427" t="s">
        <v>117</v>
      </c>
      <c r="B65" s="418">
        <v>387.68799999999999</v>
      </c>
      <c r="C65" s="418">
        <v>362.34900000000005</v>
      </c>
      <c r="D65" s="418">
        <v>4206.942</v>
      </c>
      <c r="E65" s="418">
        <v>4569.2910000000002</v>
      </c>
      <c r="F65" s="418">
        <v>4780.2640000000001</v>
      </c>
      <c r="H65" s="380">
        <f t="shared" si="6"/>
        <v>4956.9790000000003</v>
      </c>
      <c r="I65" s="380">
        <f t="shared" si="7"/>
        <v>176.71500000000015</v>
      </c>
    </row>
    <row r="66" spans="1:9" ht="14.25">
      <c r="A66" s="203"/>
      <c r="B66" s="416"/>
      <c r="C66" s="416"/>
      <c r="D66" s="416"/>
      <c r="E66" s="416"/>
      <c r="F66" s="416"/>
      <c r="H66" s="381"/>
      <c r="I66" s="381"/>
    </row>
    <row r="67" spans="1:9" ht="14.25">
      <c r="A67" s="422" t="s">
        <v>381</v>
      </c>
      <c r="B67" s="413">
        <v>13620.365999999998</v>
      </c>
      <c r="C67" s="413">
        <v>10476.104000000001</v>
      </c>
      <c r="D67" s="413">
        <v>121216.189</v>
      </c>
      <c r="E67" s="413">
        <v>131692.29300000001</v>
      </c>
      <c r="F67" s="413">
        <v>141392.03</v>
      </c>
      <c r="H67" s="381">
        <f t="shared" ref="H67:H93" si="8">SUM(B67,E67)</f>
        <v>145312.65900000001</v>
      </c>
      <c r="I67" s="381">
        <f t="shared" ref="I67:I93" si="9">H67-F67</f>
        <v>3920.6290000000154</v>
      </c>
    </row>
    <row r="68" spans="1:9" ht="14.25">
      <c r="A68" s="426" t="s">
        <v>69</v>
      </c>
      <c r="B68" s="417">
        <v>454.89399999999995</v>
      </c>
      <c r="C68" s="417">
        <v>276.47699999999998</v>
      </c>
      <c r="D68" s="417">
        <v>3839.2779999999998</v>
      </c>
      <c r="E68" s="417">
        <v>4115.7550000000001</v>
      </c>
      <c r="F68" s="417">
        <v>4461.598</v>
      </c>
      <c r="H68" s="380">
        <f t="shared" si="8"/>
        <v>4570.6490000000003</v>
      </c>
      <c r="I68" s="380">
        <f t="shared" si="9"/>
        <v>109.05100000000039</v>
      </c>
    </row>
    <row r="69" spans="1:9" ht="14.25">
      <c r="A69" s="427" t="s">
        <v>70</v>
      </c>
      <c r="B69" s="418">
        <v>145.41800000000001</v>
      </c>
      <c r="C69" s="418">
        <v>109.592</v>
      </c>
      <c r="D69" s="418">
        <v>1690.6959999999999</v>
      </c>
      <c r="E69" s="418">
        <v>1800.288</v>
      </c>
      <c r="F69" s="418">
        <v>1882.1880000000001</v>
      </c>
      <c r="H69" s="380">
        <f t="shared" si="8"/>
        <v>1945.7060000000001</v>
      </c>
      <c r="I69" s="380">
        <f t="shared" si="9"/>
        <v>63.518000000000029</v>
      </c>
    </row>
    <row r="70" spans="1:9" ht="14.25">
      <c r="A70" s="427" t="s">
        <v>64</v>
      </c>
      <c r="B70" s="418">
        <v>1308.318</v>
      </c>
      <c r="C70" s="418">
        <v>605.39200000000005</v>
      </c>
      <c r="D70" s="418">
        <v>11628.99</v>
      </c>
      <c r="E70" s="418">
        <v>12234.382</v>
      </c>
      <c r="F70" s="418">
        <v>13391.612999999998</v>
      </c>
      <c r="H70" s="380">
        <f t="shared" si="8"/>
        <v>13542.699999999999</v>
      </c>
      <c r="I70" s="380">
        <f t="shared" si="9"/>
        <v>151.08700000000135</v>
      </c>
    </row>
    <row r="71" spans="1:9" ht="14.25">
      <c r="A71" s="427" t="s">
        <v>71</v>
      </c>
      <c r="B71" s="418">
        <v>108.946</v>
      </c>
      <c r="C71" s="418">
        <v>57.809999999999995</v>
      </c>
      <c r="D71" s="418">
        <v>903.52799999999991</v>
      </c>
      <c r="E71" s="418">
        <v>961.33799999999985</v>
      </c>
      <c r="F71" s="418">
        <v>1023.8760000000001</v>
      </c>
      <c r="H71" s="380">
        <f t="shared" si="8"/>
        <v>1070.2839999999999</v>
      </c>
      <c r="I71" s="380">
        <f t="shared" si="9"/>
        <v>46.407999999999788</v>
      </c>
    </row>
    <row r="72" spans="1:9" ht="14.25">
      <c r="A72" s="427" t="s">
        <v>65</v>
      </c>
      <c r="B72" s="418">
        <v>626.10400000000004</v>
      </c>
      <c r="C72" s="418">
        <v>347.88</v>
      </c>
      <c r="D72" s="418">
        <v>6096.9480000000003</v>
      </c>
      <c r="E72" s="418">
        <v>6444.8280000000004</v>
      </c>
      <c r="F72" s="418">
        <v>6859.741</v>
      </c>
      <c r="H72" s="380">
        <f t="shared" si="8"/>
        <v>7070.9320000000007</v>
      </c>
      <c r="I72" s="380">
        <f t="shared" si="9"/>
        <v>211.19100000000071</v>
      </c>
    </row>
    <row r="73" spans="1:9" ht="14.25">
      <c r="A73" s="427" t="s">
        <v>72</v>
      </c>
      <c r="B73" s="418">
        <v>137.16999999999999</v>
      </c>
      <c r="C73" s="418">
        <v>67.496000000000009</v>
      </c>
      <c r="D73" s="418">
        <v>1042.6130000000001</v>
      </c>
      <c r="E73" s="418">
        <v>1110.1090000000002</v>
      </c>
      <c r="F73" s="418">
        <v>1215.3599999999999</v>
      </c>
      <c r="H73" s="380">
        <f t="shared" si="8"/>
        <v>1247.2790000000002</v>
      </c>
      <c r="I73" s="380">
        <f t="shared" si="9"/>
        <v>31.919000000000324</v>
      </c>
    </row>
    <row r="74" spans="1:9" ht="14.25">
      <c r="A74" s="428" t="s">
        <v>89</v>
      </c>
      <c r="B74" s="419">
        <v>545.77599999999995</v>
      </c>
      <c r="C74" s="419">
        <v>440.76799999999997</v>
      </c>
      <c r="D74" s="419">
        <v>6102.851999999999</v>
      </c>
      <c r="E74" s="419">
        <v>6543.619999999999</v>
      </c>
      <c r="F74" s="419">
        <v>6782.2560000000003</v>
      </c>
      <c r="H74" s="380">
        <f t="shared" si="8"/>
        <v>7089.3959999999988</v>
      </c>
      <c r="I74" s="380">
        <f t="shared" si="9"/>
        <v>307.13999999999851</v>
      </c>
    </row>
    <row r="75" spans="1:9" ht="14.25">
      <c r="A75" s="429" t="s">
        <v>73</v>
      </c>
      <c r="B75" s="420">
        <v>1303.492</v>
      </c>
      <c r="C75" s="420">
        <v>687.2600000000001</v>
      </c>
      <c r="D75" s="420">
        <v>7581.9800000000005</v>
      </c>
      <c r="E75" s="420">
        <v>8269.24</v>
      </c>
      <c r="F75" s="420">
        <v>9540.18</v>
      </c>
      <c r="H75" s="380">
        <f t="shared" si="8"/>
        <v>9572.732</v>
      </c>
      <c r="I75" s="380">
        <f t="shared" si="9"/>
        <v>32.55199999999968</v>
      </c>
    </row>
    <row r="76" spans="1:9" ht="14.25">
      <c r="A76" s="429" t="s">
        <v>74</v>
      </c>
      <c r="B76" s="420">
        <v>340.12800000000004</v>
      </c>
      <c r="C76" s="420">
        <v>149.94199999999998</v>
      </c>
      <c r="D76" s="420">
        <v>2445.6459999999997</v>
      </c>
      <c r="E76" s="420">
        <v>2595.5879999999997</v>
      </c>
      <c r="F76" s="420">
        <v>2835.252</v>
      </c>
      <c r="H76" s="380">
        <f t="shared" si="8"/>
        <v>2935.7159999999999</v>
      </c>
      <c r="I76" s="380">
        <f t="shared" si="9"/>
        <v>100.46399999999994</v>
      </c>
    </row>
    <row r="77" spans="1:9" ht="14.25">
      <c r="A77" s="429" t="s">
        <v>75</v>
      </c>
      <c r="B77" s="420">
        <v>401.85600000000005</v>
      </c>
      <c r="C77" s="420">
        <v>165.12599999999998</v>
      </c>
      <c r="D77" s="420">
        <v>3709.8539999999998</v>
      </c>
      <c r="E77" s="420">
        <v>3874.9799999999996</v>
      </c>
      <c r="F77" s="420">
        <v>4157.9120000000003</v>
      </c>
      <c r="H77" s="380">
        <f t="shared" si="8"/>
        <v>4276.8359999999993</v>
      </c>
      <c r="I77" s="380">
        <f t="shared" si="9"/>
        <v>118.92399999999907</v>
      </c>
    </row>
    <row r="78" spans="1:9" ht="14.25">
      <c r="A78" s="429" t="s">
        <v>76</v>
      </c>
      <c r="B78" s="420">
        <v>104.78099999999999</v>
      </c>
      <c r="C78" s="420">
        <v>53.847999999999999</v>
      </c>
      <c r="D78" s="420">
        <v>890.27</v>
      </c>
      <c r="E78" s="420">
        <v>944.11799999999994</v>
      </c>
      <c r="F78" s="420">
        <v>1016.3880000000001</v>
      </c>
      <c r="H78" s="380">
        <f t="shared" si="8"/>
        <v>1048.8989999999999</v>
      </c>
      <c r="I78" s="380">
        <f t="shared" si="9"/>
        <v>32.51099999999974</v>
      </c>
    </row>
    <row r="79" spans="1:9" ht="14.25">
      <c r="A79" s="429" t="s">
        <v>77</v>
      </c>
      <c r="B79" s="420">
        <v>176.67</v>
      </c>
      <c r="C79" s="420">
        <v>190.411</v>
      </c>
      <c r="D79" s="420">
        <v>2021.135</v>
      </c>
      <c r="E79" s="420">
        <v>2211.5459999999998</v>
      </c>
      <c r="F79" s="420">
        <v>2284.3560000000002</v>
      </c>
      <c r="H79" s="380">
        <f t="shared" si="8"/>
        <v>2388.2159999999999</v>
      </c>
      <c r="I79" s="380">
        <f t="shared" si="9"/>
        <v>103.85999999999967</v>
      </c>
    </row>
    <row r="80" spans="1:9" ht="14.25">
      <c r="A80" s="429" t="s">
        <v>78</v>
      </c>
      <c r="B80" s="420">
        <v>53.143999999999998</v>
      </c>
      <c r="C80" s="420">
        <v>29.783999999999999</v>
      </c>
      <c r="D80" s="420">
        <v>619.14</v>
      </c>
      <c r="E80" s="420">
        <v>648.92399999999998</v>
      </c>
      <c r="F80" s="420">
        <v>672.34799999999996</v>
      </c>
      <c r="H80" s="380">
        <f t="shared" si="8"/>
        <v>702.06799999999998</v>
      </c>
      <c r="I80" s="380">
        <f t="shared" si="9"/>
        <v>29.720000000000027</v>
      </c>
    </row>
    <row r="81" spans="1:12" ht="14.25">
      <c r="A81" s="429" t="s">
        <v>79</v>
      </c>
      <c r="B81" s="420">
        <v>113.62800000000001</v>
      </c>
      <c r="C81" s="420">
        <v>55.986000000000011</v>
      </c>
      <c r="D81" s="420">
        <v>1051.2720000000002</v>
      </c>
      <c r="E81" s="420">
        <v>1107.2580000000003</v>
      </c>
      <c r="F81" s="420">
        <v>1204.5920000000001</v>
      </c>
      <c r="H81" s="380">
        <f t="shared" si="8"/>
        <v>1220.8860000000002</v>
      </c>
      <c r="I81" s="380">
        <f t="shared" si="9"/>
        <v>16.294000000000096</v>
      </c>
    </row>
    <row r="82" spans="1:12" ht="14.25">
      <c r="A82" s="429" t="s">
        <v>80</v>
      </c>
      <c r="B82" s="420">
        <v>206.71200000000002</v>
      </c>
      <c r="C82" s="420">
        <v>104.67600000000002</v>
      </c>
      <c r="D82" s="420">
        <v>1752.4650000000001</v>
      </c>
      <c r="E82" s="420">
        <v>1857.1410000000001</v>
      </c>
      <c r="F82" s="420">
        <v>2017.8</v>
      </c>
      <c r="H82" s="380">
        <f t="shared" si="8"/>
        <v>2063.8530000000001</v>
      </c>
      <c r="I82" s="380">
        <f t="shared" si="9"/>
        <v>46.053000000000111</v>
      </c>
    </row>
    <row r="83" spans="1:12" ht="14.25">
      <c r="A83" s="429" t="s">
        <v>94</v>
      </c>
      <c r="B83" s="420">
        <v>862.42000000000007</v>
      </c>
      <c r="C83" s="420">
        <v>540.07799999999997</v>
      </c>
      <c r="D83" s="420">
        <v>7891.8419999999996</v>
      </c>
      <c r="E83" s="420">
        <v>8431.92</v>
      </c>
      <c r="F83" s="420">
        <v>8947.3449999999993</v>
      </c>
      <c r="H83" s="380">
        <f t="shared" si="8"/>
        <v>9294.34</v>
      </c>
      <c r="I83" s="380">
        <f t="shared" si="9"/>
        <v>346.9950000000008</v>
      </c>
    </row>
    <row r="84" spans="1:12" ht="14.25">
      <c r="A84" s="429" t="s">
        <v>66</v>
      </c>
      <c r="B84" s="420">
        <v>1896.9600000000003</v>
      </c>
      <c r="C84" s="420">
        <v>1712.8560000000002</v>
      </c>
      <c r="D84" s="420">
        <v>19369.818000000003</v>
      </c>
      <c r="E84" s="420">
        <v>21082.674000000003</v>
      </c>
      <c r="F84" s="420">
        <v>22142.600999999999</v>
      </c>
      <c r="H84" s="380">
        <f t="shared" si="8"/>
        <v>22979.634000000002</v>
      </c>
      <c r="I84" s="380">
        <f t="shared" si="9"/>
        <v>837.03300000000309</v>
      </c>
    </row>
    <row r="85" spans="1:12" ht="14.25">
      <c r="A85" s="430" t="s">
        <v>81</v>
      </c>
      <c r="B85" s="421">
        <v>158.45699999999999</v>
      </c>
      <c r="C85" s="421">
        <v>88.060000000000016</v>
      </c>
      <c r="D85" s="421">
        <v>1643.2440000000001</v>
      </c>
      <c r="E85" s="421">
        <v>1731.3040000000001</v>
      </c>
      <c r="F85" s="421">
        <v>1850.625</v>
      </c>
      <c r="H85" s="380">
        <f t="shared" si="8"/>
        <v>1889.761</v>
      </c>
      <c r="I85" s="380">
        <f t="shared" si="9"/>
        <v>39.135999999999967</v>
      </c>
    </row>
    <row r="86" spans="1:12" ht="14.25">
      <c r="A86" s="427" t="s">
        <v>67</v>
      </c>
      <c r="B86" s="418">
        <v>1811.6350000000002</v>
      </c>
      <c r="C86" s="418">
        <v>1666.367</v>
      </c>
      <c r="D86" s="418">
        <v>13722.096</v>
      </c>
      <c r="E86" s="418">
        <v>15388.463</v>
      </c>
      <c r="F86" s="418">
        <v>17120.07</v>
      </c>
      <c r="H86" s="380">
        <f t="shared" si="8"/>
        <v>17200.097999999998</v>
      </c>
      <c r="I86" s="380">
        <f t="shared" si="9"/>
        <v>80.027999999998428</v>
      </c>
    </row>
    <row r="87" spans="1:12" ht="14.25">
      <c r="A87" s="427" t="s">
        <v>82</v>
      </c>
      <c r="B87" s="418">
        <v>114.10400000000001</v>
      </c>
      <c r="C87" s="418">
        <v>50.311999999999998</v>
      </c>
      <c r="D87" s="418">
        <v>1072.9680000000001</v>
      </c>
      <c r="E87" s="418">
        <v>1123.28</v>
      </c>
      <c r="F87" s="418">
        <v>1196.9760000000001</v>
      </c>
      <c r="H87" s="380">
        <f t="shared" si="8"/>
        <v>1237.384</v>
      </c>
      <c r="I87" s="380">
        <f t="shared" si="9"/>
        <v>40.407999999999902</v>
      </c>
    </row>
    <row r="88" spans="1:12" ht="14.25">
      <c r="A88" s="427" t="s">
        <v>83</v>
      </c>
      <c r="B88" s="418">
        <v>377.93700000000001</v>
      </c>
      <c r="C88" s="418">
        <v>340.94199999999995</v>
      </c>
      <c r="D88" s="418">
        <v>3100.2859999999996</v>
      </c>
      <c r="E88" s="418">
        <v>3441.2279999999996</v>
      </c>
      <c r="F88" s="418">
        <v>3705.8519999999999</v>
      </c>
      <c r="H88" s="380">
        <f t="shared" si="8"/>
        <v>3819.1649999999995</v>
      </c>
      <c r="I88" s="380">
        <f t="shared" si="9"/>
        <v>113.31299999999965</v>
      </c>
    </row>
    <row r="89" spans="1:12" ht="14.25">
      <c r="A89" s="427" t="s">
        <v>68</v>
      </c>
      <c r="B89" s="418">
        <v>592.65000000000009</v>
      </c>
      <c r="C89" s="418">
        <v>399.25099999999998</v>
      </c>
      <c r="D89" s="418">
        <v>5794.7129999999997</v>
      </c>
      <c r="E89" s="418">
        <v>6193.9639999999999</v>
      </c>
      <c r="F89" s="418">
        <v>6454.6559999999999</v>
      </c>
      <c r="H89" s="380">
        <f t="shared" si="8"/>
        <v>6786.6139999999996</v>
      </c>
      <c r="I89" s="380">
        <f t="shared" si="9"/>
        <v>331.95799999999963</v>
      </c>
    </row>
    <row r="90" spans="1:12" ht="14.25">
      <c r="A90" s="427" t="s">
        <v>84</v>
      </c>
      <c r="B90" s="418">
        <v>149.31299999999999</v>
      </c>
      <c r="C90" s="418">
        <v>64.305999999999997</v>
      </c>
      <c r="D90" s="418">
        <v>1099.68</v>
      </c>
      <c r="E90" s="418">
        <v>1163.9860000000001</v>
      </c>
      <c r="F90" s="418">
        <v>1287.92</v>
      </c>
      <c r="H90" s="380">
        <f t="shared" si="8"/>
        <v>1313.299</v>
      </c>
      <c r="I90" s="380">
        <f t="shared" si="9"/>
        <v>25.378999999999905</v>
      </c>
    </row>
    <row r="91" spans="1:12" ht="14.25">
      <c r="A91" s="427" t="s">
        <v>85</v>
      </c>
      <c r="B91" s="418">
        <v>1471.23</v>
      </c>
      <c r="C91" s="418">
        <v>2193.2640000000001</v>
      </c>
      <c r="D91" s="418">
        <v>14688.720000000001</v>
      </c>
      <c r="E91" s="418">
        <v>16881.984</v>
      </c>
      <c r="F91" s="418">
        <v>17691.740000000002</v>
      </c>
      <c r="H91" s="380">
        <f t="shared" si="8"/>
        <v>18353.214</v>
      </c>
      <c r="I91" s="380">
        <f t="shared" si="9"/>
        <v>661.47399999999834</v>
      </c>
    </row>
    <row r="92" spans="1:12" ht="14.25">
      <c r="A92" s="427" t="s">
        <v>86</v>
      </c>
      <c r="B92" s="418">
        <v>47.498999999999995</v>
      </c>
      <c r="C92" s="418">
        <v>25.83</v>
      </c>
      <c r="D92" s="418">
        <v>516.39</v>
      </c>
      <c r="E92" s="418">
        <v>542.22</v>
      </c>
      <c r="F92" s="418">
        <v>555.92100000000005</v>
      </c>
      <c r="H92" s="380">
        <f t="shared" si="8"/>
        <v>589.71900000000005</v>
      </c>
      <c r="I92" s="380">
        <f t="shared" si="9"/>
        <v>33.798000000000002</v>
      </c>
    </row>
    <row r="93" spans="1:12" ht="14.25">
      <c r="A93" s="427" t="s">
        <v>87</v>
      </c>
      <c r="B93" s="418">
        <v>111.12400000000001</v>
      </c>
      <c r="C93" s="418">
        <v>52.39</v>
      </c>
      <c r="D93" s="418">
        <v>939.76499999999999</v>
      </c>
      <c r="E93" s="418">
        <v>992.15499999999997</v>
      </c>
      <c r="F93" s="418">
        <v>1092.864</v>
      </c>
      <c r="H93" s="380">
        <f t="shared" si="8"/>
        <v>1103.279</v>
      </c>
      <c r="I93" s="380">
        <f t="shared" si="9"/>
        <v>10.414999999999964</v>
      </c>
    </row>
    <row r="94" spans="1:12" ht="14.25">
      <c r="A94" s="203"/>
      <c r="B94" s="416"/>
      <c r="C94" s="416"/>
      <c r="D94" s="416"/>
      <c r="E94" s="416"/>
      <c r="F94" s="416"/>
      <c r="H94" s="380"/>
      <c r="I94" s="380"/>
    </row>
    <row r="95" spans="1:12" ht="14.25">
      <c r="A95" s="422" t="s">
        <v>428</v>
      </c>
      <c r="B95" s="413">
        <v>9427.0840000000007</v>
      </c>
      <c r="C95" s="413">
        <v>7842.9929999999986</v>
      </c>
      <c r="D95" s="413">
        <v>98488.518000000055</v>
      </c>
      <c r="E95" s="413">
        <v>106331.511</v>
      </c>
      <c r="F95" s="413">
        <v>112249.59100000001</v>
      </c>
      <c r="H95" s="381">
        <f t="shared" ref="H95:H117" si="10">SUM(B95,E95)</f>
        <v>115758.595</v>
      </c>
      <c r="I95" s="381">
        <f t="shared" ref="I95:I117" si="11">H95-F95</f>
        <v>3509.0039999999863</v>
      </c>
      <c r="K95" s="380"/>
      <c r="L95" s="380"/>
    </row>
    <row r="96" spans="1:12" ht="14.25">
      <c r="A96" s="426" t="s">
        <v>118</v>
      </c>
      <c r="B96" s="417">
        <v>384.96</v>
      </c>
      <c r="C96" s="417">
        <v>201.55199999999999</v>
      </c>
      <c r="D96" s="417">
        <v>3327.8879999999999</v>
      </c>
      <c r="E96" s="417">
        <v>3529.44</v>
      </c>
      <c r="F96" s="417">
        <v>3793.4079999999999</v>
      </c>
      <c r="H96" s="380">
        <f t="shared" si="10"/>
        <v>3914.4</v>
      </c>
      <c r="I96" s="380">
        <f t="shared" si="11"/>
        <v>120.99200000000019</v>
      </c>
    </row>
    <row r="97" spans="1:9" ht="14.25">
      <c r="A97" s="427" t="s">
        <v>119</v>
      </c>
      <c r="B97" s="418">
        <v>140.43799999999999</v>
      </c>
      <c r="C97" s="418">
        <v>79.694999999999993</v>
      </c>
      <c r="D97" s="418">
        <v>1281.123</v>
      </c>
      <c r="E97" s="418">
        <v>1360.818</v>
      </c>
      <c r="F97" s="418">
        <v>1460.8460000000002</v>
      </c>
      <c r="H97" s="380">
        <f t="shared" si="10"/>
        <v>1501.2559999999999</v>
      </c>
      <c r="I97" s="380">
        <f t="shared" si="11"/>
        <v>40.409999999999627</v>
      </c>
    </row>
    <row r="98" spans="1:9" ht="14.25">
      <c r="A98" s="427" t="s">
        <v>120</v>
      </c>
      <c r="B98" s="418">
        <v>274.755</v>
      </c>
      <c r="C98" s="418">
        <v>159.25</v>
      </c>
      <c r="D98" s="418">
        <v>2741.2840000000001</v>
      </c>
      <c r="E98" s="418">
        <v>2900.5340000000001</v>
      </c>
      <c r="F98" s="418">
        <v>3105.2559999999999</v>
      </c>
      <c r="H98" s="380">
        <f t="shared" si="10"/>
        <v>3175.2890000000002</v>
      </c>
      <c r="I98" s="380">
        <f t="shared" si="11"/>
        <v>70.033000000000357</v>
      </c>
    </row>
    <row r="99" spans="1:9" ht="14.25">
      <c r="A99" s="427" t="s">
        <v>121</v>
      </c>
      <c r="B99" s="418">
        <v>175.81200000000001</v>
      </c>
      <c r="C99" s="418">
        <v>129.13200000000001</v>
      </c>
      <c r="D99" s="418">
        <v>2253.2690000000002</v>
      </c>
      <c r="E99" s="418">
        <v>2382.4010000000003</v>
      </c>
      <c r="F99" s="418">
        <v>2451.6450000000004</v>
      </c>
      <c r="H99" s="380">
        <f t="shared" si="10"/>
        <v>2558.2130000000002</v>
      </c>
      <c r="I99" s="380">
        <f t="shared" si="11"/>
        <v>106.56799999999976</v>
      </c>
    </row>
    <row r="100" spans="1:9" ht="14.25">
      <c r="A100" s="427" t="s">
        <v>122</v>
      </c>
      <c r="B100" s="418">
        <v>2180.4640000000004</v>
      </c>
      <c r="C100" s="418">
        <v>1353.4600000000003</v>
      </c>
      <c r="D100" s="418">
        <v>22650.512000000002</v>
      </c>
      <c r="E100" s="418">
        <v>24003.972000000002</v>
      </c>
      <c r="F100" s="418">
        <v>25515.125</v>
      </c>
      <c r="H100" s="380">
        <f t="shared" si="10"/>
        <v>26184.436000000002</v>
      </c>
      <c r="I100" s="380">
        <f t="shared" si="11"/>
        <v>669.31100000000151</v>
      </c>
    </row>
    <row r="101" spans="1:9" ht="14.25">
      <c r="A101" s="427" t="s">
        <v>123</v>
      </c>
      <c r="B101" s="418">
        <v>628.26800000000003</v>
      </c>
      <c r="C101" s="418">
        <v>589.53600000000006</v>
      </c>
      <c r="D101" s="418">
        <v>8432.3940000000002</v>
      </c>
      <c r="E101" s="418">
        <v>9021.93</v>
      </c>
      <c r="F101" s="418">
        <v>9265.3920000000016</v>
      </c>
      <c r="H101" s="380">
        <f t="shared" si="10"/>
        <v>9650.1980000000003</v>
      </c>
      <c r="I101" s="380">
        <f t="shared" si="11"/>
        <v>384.80599999999868</v>
      </c>
    </row>
    <row r="102" spans="1:9" ht="14.25">
      <c r="A102" s="427" t="s">
        <v>124</v>
      </c>
      <c r="B102" s="418">
        <v>280.30200000000002</v>
      </c>
      <c r="C102" s="418">
        <v>155.55099999999999</v>
      </c>
      <c r="D102" s="418">
        <v>2696.9929999999999</v>
      </c>
      <c r="E102" s="418">
        <v>2852.5439999999999</v>
      </c>
      <c r="F102" s="418">
        <v>3067.8159999999998</v>
      </c>
      <c r="H102" s="380">
        <f t="shared" si="10"/>
        <v>3132.846</v>
      </c>
      <c r="I102" s="380">
        <f t="shared" si="11"/>
        <v>65.0300000000002</v>
      </c>
    </row>
    <row r="103" spans="1:9" ht="14.25">
      <c r="A103" s="427" t="s">
        <v>125</v>
      </c>
      <c r="B103" s="418">
        <v>138.566</v>
      </c>
      <c r="C103" s="418">
        <v>69.695999999999998</v>
      </c>
      <c r="D103" s="418">
        <v>1141.248</v>
      </c>
      <c r="E103" s="418">
        <v>1210.944</v>
      </c>
      <c r="F103" s="418">
        <v>1313.943</v>
      </c>
      <c r="H103" s="380">
        <f t="shared" si="10"/>
        <v>1349.51</v>
      </c>
      <c r="I103" s="380">
        <f t="shared" si="11"/>
        <v>35.567000000000007</v>
      </c>
    </row>
    <row r="104" spans="1:9" ht="14.25">
      <c r="A104" s="427" t="s">
        <v>126</v>
      </c>
      <c r="B104" s="418">
        <v>115.735</v>
      </c>
      <c r="C104" s="418">
        <v>74.814000000000007</v>
      </c>
      <c r="D104" s="418">
        <v>983.68200000000002</v>
      </c>
      <c r="E104" s="418">
        <v>1058.4960000000001</v>
      </c>
      <c r="F104" s="418">
        <v>1153.105</v>
      </c>
      <c r="H104" s="380">
        <f t="shared" si="10"/>
        <v>1174.231</v>
      </c>
      <c r="I104" s="380">
        <f t="shared" si="11"/>
        <v>21.125999999999976</v>
      </c>
    </row>
    <row r="105" spans="1:9" ht="14.25">
      <c r="A105" s="427" t="s">
        <v>127</v>
      </c>
      <c r="B105" s="418">
        <v>516.02400000000011</v>
      </c>
      <c r="C105" s="418">
        <v>290.53999999999996</v>
      </c>
      <c r="D105" s="418">
        <v>4948.9619999999995</v>
      </c>
      <c r="E105" s="418">
        <v>5239.5019999999995</v>
      </c>
      <c r="F105" s="418">
        <v>5589.4890000000005</v>
      </c>
      <c r="H105" s="380">
        <f t="shared" si="10"/>
        <v>5755.5259999999998</v>
      </c>
      <c r="I105" s="380">
        <f t="shared" si="11"/>
        <v>166.03699999999935</v>
      </c>
    </row>
    <row r="106" spans="1:9" ht="14.25">
      <c r="A106" s="427" t="s">
        <v>128</v>
      </c>
      <c r="B106" s="418">
        <v>1170.3510000000001</v>
      </c>
      <c r="C106" s="418">
        <v>645.92499999999995</v>
      </c>
      <c r="D106" s="418">
        <v>10724.875</v>
      </c>
      <c r="E106" s="418">
        <v>11370.8</v>
      </c>
      <c r="F106" s="418">
        <v>12198.737999999999</v>
      </c>
      <c r="H106" s="380">
        <f t="shared" si="10"/>
        <v>12541.151</v>
      </c>
      <c r="I106" s="380">
        <f t="shared" si="11"/>
        <v>342.41300000000047</v>
      </c>
    </row>
    <row r="107" spans="1:9" ht="14.25">
      <c r="A107" s="427" t="s">
        <v>129</v>
      </c>
      <c r="B107" s="418">
        <v>416.72400000000005</v>
      </c>
      <c r="C107" s="418">
        <v>855.94499999999994</v>
      </c>
      <c r="D107" s="418">
        <v>5024.5109999999995</v>
      </c>
      <c r="E107" s="418">
        <v>5880.4559999999992</v>
      </c>
      <c r="F107" s="418">
        <v>6041.6279999999997</v>
      </c>
      <c r="H107" s="380">
        <f t="shared" si="10"/>
        <v>6297.1799999999994</v>
      </c>
      <c r="I107" s="380">
        <f t="shared" si="11"/>
        <v>255.55199999999968</v>
      </c>
    </row>
    <row r="108" spans="1:9" ht="14.25">
      <c r="A108" s="427" t="s">
        <v>130</v>
      </c>
      <c r="B108" s="418">
        <v>442.79500000000002</v>
      </c>
      <c r="C108" s="418">
        <v>270.06799999999998</v>
      </c>
      <c r="D108" s="418">
        <v>3873.1860000000001</v>
      </c>
      <c r="E108" s="418">
        <v>4143.2539999999999</v>
      </c>
      <c r="F108" s="418">
        <v>4468.9139999999998</v>
      </c>
      <c r="H108" s="380">
        <f t="shared" si="10"/>
        <v>4586.049</v>
      </c>
      <c r="I108" s="380">
        <f t="shared" si="11"/>
        <v>117.13500000000022</v>
      </c>
    </row>
    <row r="109" spans="1:9" ht="14.25">
      <c r="A109" s="427" t="s">
        <v>131</v>
      </c>
      <c r="B109" s="418">
        <v>189.06900000000002</v>
      </c>
      <c r="C109" s="418">
        <v>203.595</v>
      </c>
      <c r="D109" s="418">
        <v>1783.5509999999999</v>
      </c>
      <c r="E109" s="418">
        <v>1987.146</v>
      </c>
      <c r="F109" s="418">
        <v>2104.375</v>
      </c>
      <c r="H109" s="380">
        <f t="shared" si="10"/>
        <v>2176.2150000000001</v>
      </c>
      <c r="I109" s="380">
        <f t="shared" si="11"/>
        <v>71.840000000000146</v>
      </c>
    </row>
    <row r="110" spans="1:9" ht="14.25">
      <c r="A110" s="427" t="s">
        <v>132</v>
      </c>
      <c r="B110" s="418">
        <v>375.78100000000001</v>
      </c>
      <c r="C110" s="418">
        <v>279.48</v>
      </c>
      <c r="D110" s="418">
        <v>4447.71</v>
      </c>
      <c r="E110" s="418">
        <v>4727.1900000000005</v>
      </c>
      <c r="F110" s="418">
        <v>4895.6880000000001</v>
      </c>
      <c r="H110" s="380">
        <f t="shared" si="10"/>
        <v>5102.9710000000005</v>
      </c>
      <c r="I110" s="380">
        <f t="shared" si="11"/>
        <v>207.28300000000036</v>
      </c>
    </row>
    <row r="111" spans="1:9" ht="14.25">
      <c r="A111" s="427" t="s">
        <v>133</v>
      </c>
      <c r="B111" s="418">
        <v>146.24</v>
      </c>
      <c r="C111" s="418">
        <v>89.604000000000013</v>
      </c>
      <c r="D111" s="418">
        <v>1421.865</v>
      </c>
      <c r="E111" s="418">
        <v>1511.4690000000001</v>
      </c>
      <c r="F111" s="418">
        <v>1612.9799999999998</v>
      </c>
      <c r="H111" s="380">
        <f t="shared" si="10"/>
        <v>1657.7090000000001</v>
      </c>
      <c r="I111" s="380">
        <f t="shared" si="11"/>
        <v>44.729000000000269</v>
      </c>
    </row>
    <row r="112" spans="1:9" ht="14.25">
      <c r="A112" s="427" t="s">
        <v>134</v>
      </c>
      <c r="B112" s="418">
        <v>183.10400000000001</v>
      </c>
      <c r="C112" s="418">
        <v>114.47199999999998</v>
      </c>
      <c r="D112" s="418">
        <v>1826.7959999999998</v>
      </c>
      <c r="E112" s="418">
        <v>1941.2679999999998</v>
      </c>
      <c r="F112" s="418">
        <v>2057.7200000000003</v>
      </c>
      <c r="H112" s="380">
        <f t="shared" si="10"/>
        <v>2124.3719999999998</v>
      </c>
      <c r="I112" s="380">
        <f t="shared" si="11"/>
        <v>66.651999999999589</v>
      </c>
    </row>
    <row r="113" spans="1:19" ht="14.25">
      <c r="A113" s="427" t="s">
        <v>136</v>
      </c>
      <c r="B113" s="418">
        <v>226.15599999999998</v>
      </c>
      <c r="C113" s="418">
        <v>104.10499999999999</v>
      </c>
      <c r="D113" s="418">
        <v>1753.57</v>
      </c>
      <c r="E113" s="418">
        <v>1857.675</v>
      </c>
      <c r="F113" s="418">
        <v>2057.9589999999998</v>
      </c>
      <c r="H113" s="380">
        <f t="shared" si="10"/>
        <v>2083.8310000000001</v>
      </c>
      <c r="I113" s="380">
        <f t="shared" si="11"/>
        <v>25.872000000000298</v>
      </c>
    </row>
    <row r="114" spans="1:19" ht="14.25">
      <c r="A114" s="427" t="s">
        <v>137</v>
      </c>
      <c r="B114" s="418">
        <v>291.27499999999998</v>
      </c>
      <c r="C114" s="418">
        <v>265.32</v>
      </c>
      <c r="D114" s="418">
        <v>3412.53</v>
      </c>
      <c r="E114" s="418">
        <v>3677.8500000000004</v>
      </c>
      <c r="F114" s="418">
        <v>3876.1000000000004</v>
      </c>
      <c r="H114" s="380">
        <f t="shared" si="10"/>
        <v>3969.1250000000005</v>
      </c>
      <c r="I114" s="380">
        <f t="shared" si="11"/>
        <v>93.025000000000091</v>
      </c>
    </row>
    <row r="115" spans="1:19" ht="14.25">
      <c r="A115" s="427" t="s">
        <v>138</v>
      </c>
      <c r="B115" s="418">
        <v>311.21600000000001</v>
      </c>
      <c r="C115" s="418">
        <v>1326.5280000000002</v>
      </c>
      <c r="D115" s="418">
        <v>4700.4480000000003</v>
      </c>
      <c r="E115" s="418">
        <v>6026.9760000000006</v>
      </c>
      <c r="F115" s="418">
        <v>6108.9279999999999</v>
      </c>
      <c r="H115" s="380">
        <f t="shared" si="10"/>
        <v>6338.1920000000009</v>
      </c>
      <c r="I115" s="380">
        <f t="shared" si="11"/>
        <v>229.26400000000103</v>
      </c>
    </row>
    <row r="116" spans="1:19" ht="14.25">
      <c r="A116" s="427" t="s">
        <v>139</v>
      </c>
      <c r="B116" s="418">
        <v>651.78399999999988</v>
      </c>
      <c r="C116" s="418">
        <v>484.66399999999999</v>
      </c>
      <c r="D116" s="418">
        <v>7251.5360000000001</v>
      </c>
      <c r="E116" s="418">
        <v>7736.2</v>
      </c>
      <c r="F116" s="418">
        <v>8076.7169999999996</v>
      </c>
      <c r="H116" s="380">
        <f t="shared" si="10"/>
        <v>8387.9840000000004</v>
      </c>
      <c r="I116" s="380">
        <f t="shared" si="11"/>
        <v>311.26700000000073</v>
      </c>
    </row>
    <row r="117" spans="1:19" ht="14.25">
      <c r="A117" s="427" t="s">
        <v>140</v>
      </c>
      <c r="B117" s="418">
        <v>187.26500000000001</v>
      </c>
      <c r="C117" s="418">
        <v>100.06099999999999</v>
      </c>
      <c r="D117" s="418">
        <v>1810.585</v>
      </c>
      <c r="E117" s="418">
        <v>1910.646</v>
      </c>
      <c r="F117" s="418">
        <v>2033.819</v>
      </c>
      <c r="H117" s="380">
        <f t="shared" si="10"/>
        <v>2097.9110000000001</v>
      </c>
      <c r="I117" s="380">
        <f t="shared" si="11"/>
        <v>64.092000000000098</v>
      </c>
    </row>
    <row r="118" spans="1:19" ht="14.25">
      <c r="A118" s="203"/>
      <c r="B118" s="416"/>
      <c r="C118" s="416"/>
      <c r="D118" s="416"/>
      <c r="E118" s="416"/>
      <c r="F118" s="416"/>
      <c r="H118" s="380"/>
      <c r="I118" s="380"/>
    </row>
    <row r="119" spans="1:19" ht="14.25">
      <c r="A119" s="423" t="s">
        <v>228</v>
      </c>
      <c r="B119" s="416">
        <v>104275.31200000002</v>
      </c>
      <c r="C119" s="416">
        <v>72074.116999999998</v>
      </c>
      <c r="D119" s="416">
        <v>940570.13299999957</v>
      </c>
      <c r="E119" s="416">
        <v>1012644.2499999998</v>
      </c>
      <c r="F119" s="416">
        <v>1079986.5020000001</v>
      </c>
      <c r="H119" s="381">
        <f>SUM(B119,E119)</f>
        <v>1116919.5619999997</v>
      </c>
      <c r="I119" s="381">
        <f>H119-F119</f>
        <v>36933.05999999959</v>
      </c>
    </row>
    <row r="120" spans="1:19" ht="14.25">
      <c r="A120" s="318"/>
      <c r="B120" s="318"/>
      <c r="C120" s="318"/>
      <c r="D120" s="318"/>
      <c r="E120" s="318"/>
      <c r="I120" s="380"/>
    </row>
    <row r="121" spans="1:19" ht="30" customHeight="1">
      <c r="A121" s="447" t="s">
        <v>481</v>
      </c>
      <c r="B121" s="447"/>
      <c r="C121" s="447"/>
      <c r="D121" s="447"/>
      <c r="E121" s="447"/>
      <c r="F121" s="447"/>
      <c r="H121" s="381">
        <f>SUM(H5:H117)/2</f>
        <v>1116919.5619999995</v>
      </c>
      <c r="I121" s="381">
        <f>SUM(I5:I117)/2</f>
        <v>36933.060000000019</v>
      </c>
    </row>
    <row r="122" spans="1:19" ht="30" customHeight="1">
      <c r="A122" s="447" t="s">
        <v>482</v>
      </c>
      <c r="B122" s="447"/>
      <c r="C122" s="447"/>
      <c r="D122" s="447"/>
      <c r="E122" s="447"/>
      <c r="F122" s="447"/>
      <c r="G122" s="162"/>
      <c r="H122" s="162"/>
      <c r="I122" s="162"/>
      <c r="J122" s="162"/>
      <c r="K122" s="162"/>
      <c r="L122" s="162"/>
      <c r="M122" s="162"/>
      <c r="N122" s="162"/>
      <c r="O122" s="162"/>
      <c r="P122" s="162"/>
      <c r="Q122" s="162"/>
      <c r="R122" s="162"/>
      <c r="S122" s="162"/>
    </row>
    <row r="123" spans="1:19" ht="50.1" customHeight="1">
      <c r="A123" s="447" t="s">
        <v>483</v>
      </c>
      <c r="B123" s="447"/>
      <c r="C123" s="447"/>
      <c r="D123" s="447"/>
      <c r="E123" s="447"/>
      <c r="F123" s="447"/>
      <c r="G123" s="162"/>
      <c r="H123" s="162"/>
      <c r="I123" s="162"/>
      <c r="J123" s="162"/>
      <c r="K123" s="162"/>
      <c r="L123" s="162"/>
      <c r="M123" s="162"/>
      <c r="N123" s="162"/>
      <c r="O123" s="162"/>
      <c r="P123" s="162"/>
      <c r="Q123" s="162"/>
      <c r="R123" s="162"/>
      <c r="S123" s="162"/>
    </row>
    <row r="127" spans="1:19" ht="20.100000000000001" customHeight="1">
      <c r="A127" s="400"/>
    </row>
    <row r="128" spans="1:19" ht="26.1" customHeight="1">
      <c r="A128" s="410"/>
      <c r="B128" s="410"/>
      <c r="C128" s="410"/>
      <c r="D128" s="410"/>
      <c r="E128" s="410"/>
      <c r="F128" s="410"/>
    </row>
    <row r="129" spans="1:6" ht="45.75" customHeight="1">
      <c r="A129" s="410"/>
      <c r="B129" s="410"/>
      <c r="C129" s="410"/>
      <c r="D129" s="410"/>
      <c r="E129" s="410"/>
      <c r="F129" s="410"/>
    </row>
    <row r="131" spans="1:6" ht="14.25">
      <c r="A131" s="382"/>
      <c r="B131" s="383"/>
      <c r="C131" s="383"/>
      <c r="D131" s="383"/>
      <c r="E131" s="383"/>
      <c r="F131" s="383"/>
    </row>
    <row r="132" spans="1:6" ht="14.25">
      <c r="A132" s="318"/>
      <c r="B132" s="318"/>
      <c r="C132" s="318"/>
      <c r="D132" s="318"/>
      <c r="E132" s="318"/>
      <c r="F132" s="318"/>
    </row>
    <row r="133" spans="1:6" ht="14.25">
      <c r="A133" s="318"/>
      <c r="B133" s="318"/>
      <c r="C133" s="318"/>
      <c r="D133" s="318"/>
      <c r="E133" s="318"/>
      <c r="F133" s="318"/>
    </row>
    <row r="134" spans="1:6" ht="14.25">
      <c r="A134" s="318"/>
      <c r="B134" s="318"/>
      <c r="C134" s="318"/>
      <c r="D134" s="318"/>
      <c r="E134" s="318"/>
      <c r="F134" s="318"/>
    </row>
    <row r="135" spans="1:6" ht="14.25">
      <c r="A135" s="318"/>
      <c r="B135" s="318"/>
      <c r="C135" s="318"/>
      <c r="D135" s="318"/>
      <c r="E135" s="318"/>
      <c r="F135" s="318"/>
    </row>
    <row r="136" spans="1:6" ht="14.25">
      <c r="A136" s="318"/>
      <c r="B136" s="318"/>
      <c r="C136" s="318"/>
      <c r="D136" s="318"/>
      <c r="E136" s="318"/>
      <c r="F136" s="318"/>
    </row>
    <row r="137" spans="1:6" ht="14.25">
      <c r="A137" s="318"/>
      <c r="B137" s="318"/>
      <c r="C137" s="318"/>
      <c r="D137" s="318"/>
      <c r="E137" s="318"/>
      <c r="F137" s="318"/>
    </row>
    <row r="138" spans="1:6" ht="14.25">
      <c r="A138" s="318"/>
      <c r="B138" s="318"/>
      <c r="C138" s="318"/>
      <c r="D138" s="318"/>
      <c r="E138" s="318"/>
      <c r="F138" s="318"/>
    </row>
    <row r="139" spans="1:6" ht="14.25">
      <c r="A139" s="318"/>
      <c r="B139" s="318"/>
      <c r="C139" s="318"/>
      <c r="D139" s="318"/>
      <c r="E139" s="318"/>
      <c r="F139" s="318"/>
    </row>
    <row r="140" spans="1:6" ht="14.25">
      <c r="A140" s="318"/>
      <c r="B140" s="318"/>
      <c r="C140" s="318"/>
      <c r="D140" s="318"/>
      <c r="E140" s="318"/>
      <c r="F140" s="318"/>
    </row>
    <row r="141" spans="1:6" ht="14.25">
      <c r="A141" s="318"/>
      <c r="B141" s="318"/>
      <c r="C141" s="318"/>
      <c r="D141" s="318"/>
      <c r="E141" s="318"/>
      <c r="F141" s="318"/>
    </row>
    <row r="142" spans="1:6" ht="14.25">
      <c r="A142" s="318"/>
      <c r="B142" s="318"/>
      <c r="C142" s="318"/>
      <c r="D142" s="318"/>
      <c r="E142" s="318"/>
      <c r="F142" s="318"/>
    </row>
    <row r="143" spans="1:6" ht="14.25">
      <c r="A143" s="318"/>
      <c r="B143" s="318"/>
      <c r="C143" s="318"/>
      <c r="D143" s="318"/>
      <c r="E143" s="318"/>
      <c r="F143" s="318"/>
    </row>
    <row r="144" spans="1:6" ht="14.25">
      <c r="A144" s="318"/>
      <c r="B144" s="318"/>
      <c r="C144" s="318"/>
      <c r="D144" s="318"/>
      <c r="E144" s="318"/>
      <c r="F144" s="318"/>
    </row>
    <row r="145" spans="1:6" ht="14.25">
      <c r="A145" s="318"/>
      <c r="B145" s="318"/>
      <c r="C145" s="318"/>
      <c r="D145" s="318"/>
      <c r="E145" s="318"/>
      <c r="F145" s="318"/>
    </row>
    <row r="146" spans="1:6" ht="14.25">
      <c r="A146" s="318"/>
      <c r="B146" s="318"/>
      <c r="C146" s="318"/>
      <c r="D146" s="318"/>
      <c r="E146" s="318"/>
      <c r="F146" s="318"/>
    </row>
    <row r="147" spans="1:6" ht="14.25">
      <c r="A147" s="318"/>
      <c r="B147" s="318"/>
      <c r="C147" s="318"/>
      <c r="D147" s="318"/>
      <c r="E147" s="318"/>
      <c r="F147" s="318"/>
    </row>
    <row r="148" spans="1:6" ht="14.25">
      <c r="A148" s="318"/>
      <c r="B148" s="318"/>
      <c r="C148" s="318"/>
      <c r="D148" s="318"/>
      <c r="E148" s="318"/>
      <c r="F148" s="318"/>
    </row>
    <row r="149" spans="1:6" ht="14.25">
      <c r="A149" s="318"/>
      <c r="B149" s="318"/>
      <c r="C149" s="318"/>
      <c r="D149" s="318"/>
      <c r="E149" s="318"/>
      <c r="F149" s="318"/>
    </row>
    <row r="150" spans="1:6" ht="14.25">
      <c r="A150" s="318"/>
      <c r="B150" s="318"/>
      <c r="C150" s="318"/>
      <c r="D150" s="318"/>
      <c r="E150" s="318"/>
      <c r="F150" s="318"/>
    </row>
    <row r="151" spans="1:6" ht="14.25">
      <c r="A151" s="318"/>
      <c r="B151" s="318"/>
      <c r="C151" s="318"/>
      <c r="D151" s="318"/>
      <c r="E151" s="318"/>
      <c r="F151" s="318"/>
    </row>
    <row r="152" spans="1:6" ht="14.25">
      <c r="A152" s="318"/>
      <c r="B152" s="318"/>
      <c r="C152" s="318"/>
      <c r="D152" s="318"/>
      <c r="E152" s="318"/>
      <c r="F152" s="318"/>
    </row>
    <row r="153" spans="1:6" ht="14.25">
      <c r="A153" s="318"/>
      <c r="B153" s="318"/>
      <c r="C153" s="318"/>
      <c r="D153" s="318"/>
      <c r="E153" s="318"/>
      <c r="F153" s="318"/>
    </row>
    <row r="154" spans="1:6" ht="14.25">
      <c r="A154" s="318"/>
      <c r="B154" s="318"/>
      <c r="C154" s="318"/>
      <c r="D154" s="318"/>
      <c r="E154" s="318"/>
      <c r="F154" s="318"/>
    </row>
    <row r="155" spans="1:6" ht="14.25">
      <c r="A155" s="318"/>
      <c r="B155" s="318"/>
      <c r="C155" s="318"/>
      <c r="D155" s="318"/>
      <c r="E155" s="318"/>
      <c r="F155" s="318"/>
    </row>
    <row r="156" spans="1:6" ht="14.25">
      <c r="A156" s="318"/>
      <c r="B156" s="318"/>
      <c r="C156" s="318"/>
      <c r="D156" s="318"/>
      <c r="E156" s="318"/>
      <c r="F156" s="318"/>
    </row>
    <row r="157" spans="1:6" ht="14.25">
      <c r="A157" s="318"/>
      <c r="B157" s="318"/>
      <c r="C157" s="318"/>
      <c r="D157" s="318"/>
      <c r="E157" s="318"/>
      <c r="F157" s="318"/>
    </row>
    <row r="158" spans="1:6" ht="14.25">
      <c r="A158" s="318"/>
      <c r="B158" s="318"/>
      <c r="C158" s="318"/>
      <c r="D158" s="318"/>
      <c r="E158" s="318"/>
      <c r="F158" s="318"/>
    </row>
    <row r="159" spans="1:6" ht="14.25">
      <c r="A159" s="318"/>
      <c r="B159" s="318"/>
      <c r="C159" s="318"/>
      <c r="D159" s="318"/>
      <c r="E159" s="318"/>
      <c r="F159" s="318"/>
    </row>
    <row r="160" spans="1:6" ht="14.25">
      <c r="A160" s="318"/>
      <c r="B160" s="318"/>
      <c r="C160" s="318"/>
      <c r="D160" s="318"/>
      <c r="E160" s="318"/>
      <c r="F160" s="318"/>
    </row>
    <row r="161" spans="1:6" ht="14.25">
      <c r="A161" s="318"/>
      <c r="B161" s="318"/>
      <c r="C161" s="318"/>
      <c r="D161" s="318"/>
      <c r="E161" s="318"/>
      <c r="F161" s="318"/>
    </row>
    <row r="162" spans="1:6" ht="14.25">
      <c r="A162" s="318"/>
      <c r="B162" s="318"/>
      <c r="C162" s="318"/>
      <c r="D162" s="318"/>
      <c r="E162" s="318"/>
      <c r="F162" s="318"/>
    </row>
    <row r="163" spans="1:6" ht="14.25">
      <c r="A163" s="318"/>
      <c r="B163" s="318"/>
      <c r="C163" s="318"/>
      <c r="D163" s="318"/>
      <c r="E163" s="318"/>
      <c r="F163" s="318"/>
    </row>
    <row r="164" spans="1:6" ht="14.25">
      <c r="A164" s="318"/>
      <c r="B164" s="318"/>
      <c r="C164" s="318"/>
      <c r="D164" s="318"/>
      <c r="E164" s="318"/>
      <c r="F164" s="318"/>
    </row>
    <row r="165" spans="1:6" ht="14.25">
      <c r="A165" s="318"/>
      <c r="B165" s="318"/>
      <c r="C165" s="318"/>
      <c r="D165" s="318"/>
      <c r="E165" s="318"/>
      <c r="F165" s="318"/>
    </row>
    <row r="166" spans="1:6" ht="14.25">
      <c r="A166" s="318"/>
      <c r="B166" s="318"/>
      <c r="C166" s="318"/>
      <c r="D166" s="318"/>
      <c r="E166" s="318"/>
      <c r="F166" s="318"/>
    </row>
    <row r="167" spans="1:6" ht="14.25">
      <c r="A167" s="318"/>
      <c r="B167" s="318"/>
      <c r="C167" s="318"/>
      <c r="D167" s="318"/>
      <c r="E167" s="318"/>
      <c r="F167" s="318"/>
    </row>
    <row r="168" spans="1:6" ht="14.25">
      <c r="A168" s="318"/>
      <c r="B168" s="318"/>
      <c r="C168" s="318"/>
      <c r="D168" s="318"/>
      <c r="E168" s="318"/>
      <c r="F168" s="318"/>
    </row>
    <row r="169" spans="1:6" ht="14.25">
      <c r="A169" s="318"/>
      <c r="B169" s="318"/>
      <c r="C169" s="318"/>
      <c r="D169" s="318"/>
      <c r="E169" s="318"/>
      <c r="F169" s="318"/>
    </row>
    <row r="170" spans="1:6" ht="14.25">
      <c r="A170" s="318"/>
      <c r="B170" s="318"/>
      <c r="C170" s="318"/>
      <c r="D170" s="318"/>
      <c r="E170" s="318"/>
      <c r="F170" s="318"/>
    </row>
    <row r="171" spans="1:6" ht="14.25">
      <c r="A171" s="318"/>
      <c r="B171" s="318"/>
      <c r="C171" s="318"/>
      <c r="D171" s="318"/>
      <c r="E171" s="318"/>
      <c r="F171" s="318"/>
    </row>
    <row r="172" spans="1:6" ht="14.25">
      <c r="A172" s="318"/>
      <c r="B172" s="318"/>
      <c r="C172" s="318"/>
      <c r="D172" s="318"/>
      <c r="E172" s="318"/>
      <c r="F172" s="318"/>
    </row>
    <row r="173" spans="1:6" ht="14.25">
      <c r="A173" s="318"/>
      <c r="B173" s="318"/>
      <c r="C173" s="318"/>
      <c r="D173" s="318"/>
      <c r="E173" s="318"/>
      <c r="F173" s="318"/>
    </row>
    <row r="174" spans="1:6" ht="14.25">
      <c r="A174" s="318"/>
      <c r="B174" s="318"/>
      <c r="C174" s="318"/>
      <c r="D174" s="318"/>
      <c r="E174" s="318"/>
      <c r="F174" s="318"/>
    </row>
    <row r="175" spans="1:6" ht="14.25">
      <c r="A175" s="318"/>
      <c r="B175" s="318"/>
      <c r="C175" s="318"/>
      <c r="D175" s="318"/>
      <c r="E175" s="318"/>
      <c r="F175" s="318"/>
    </row>
    <row r="176" spans="1:6" ht="14.25">
      <c r="A176" s="318"/>
      <c r="B176" s="318"/>
      <c r="C176" s="318"/>
      <c r="D176" s="318"/>
      <c r="E176" s="318"/>
      <c r="F176" s="318"/>
    </row>
    <row r="177" spans="1:6" ht="14.25">
      <c r="A177" s="318"/>
      <c r="B177" s="318"/>
      <c r="C177" s="318"/>
      <c r="D177" s="318"/>
      <c r="E177" s="318"/>
      <c r="F177" s="318"/>
    </row>
    <row r="178" spans="1:6" ht="14.25">
      <c r="A178" s="318"/>
      <c r="B178" s="318"/>
      <c r="C178" s="318"/>
      <c r="D178" s="318"/>
      <c r="E178" s="318"/>
      <c r="F178" s="318"/>
    </row>
    <row r="179" spans="1:6" ht="14.25">
      <c r="A179" s="318"/>
      <c r="B179" s="318"/>
      <c r="C179" s="318"/>
      <c r="D179" s="318"/>
      <c r="E179" s="318"/>
      <c r="F179" s="318"/>
    </row>
    <row r="180" spans="1:6" ht="14.25">
      <c r="A180" s="318"/>
      <c r="B180" s="318"/>
      <c r="C180" s="318"/>
      <c r="D180" s="318"/>
      <c r="E180" s="318"/>
      <c r="F180" s="318"/>
    </row>
    <row r="181" spans="1:6" ht="14.25">
      <c r="A181" s="318"/>
      <c r="B181" s="318"/>
      <c r="C181" s="318"/>
      <c r="D181" s="318"/>
      <c r="E181" s="318"/>
      <c r="F181" s="318"/>
    </row>
    <row r="182" spans="1:6" ht="14.25">
      <c r="A182" s="318"/>
      <c r="B182" s="318"/>
      <c r="C182" s="318"/>
      <c r="D182" s="318"/>
      <c r="E182" s="318"/>
      <c r="F182" s="318"/>
    </row>
    <row r="183" spans="1:6" ht="14.25">
      <c r="A183" s="318"/>
      <c r="B183" s="318"/>
      <c r="C183" s="318"/>
      <c r="D183" s="318"/>
      <c r="E183" s="318"/>
      <c r="F183" s="318"/>
    </row>
    <row r="184" spans="1:6" ht="14.25">
      <c r="A184" s="318"/>
      <c r="B184" s="318"/>
      <c r="C184" s="318"/>
      <c r="D184" s="318"/>
      <c r="E184" s="318"/>
      <c r="F184" s="318"/>
    </row>
    <row r="185" spans="1:6" ht="14.25">
      <c r="A185" s="318"/>
      <c r="B185" s="318"/>
      <c r="C185" s="318"/>
      <c r="D185" s="318"/>
      <c r="E185" s="318"/>
      <c r="F185" s="318"/>
    </row>
    <row r="186" spans="1:6" ht="14.25">
      <c r="A186" s="318"/>
      <c r="B186" s="318"/>
      <c r="C186" s="318"/>
      <c r="D186" s="318"/>
      <c r="E186" s="318"/>
      <c r="F186" s="318"/>
    </row>
    <row r="187" spans="1:6" ht="14.25">
      <c r="A187" s="318"/>
      <c r="B187" s="318"/>
      <c r="C187" s="318"/>
      <c r="D187" s="318"/>
      <c r="E187" s="318"/>
      <c r="F187" s="318"/>
    </row>
    <row r="188" spans="1:6" ht="14.25">
      <c r="A188" s="318"/>
      <c r="B188" s="318"/>
      <c r="C188" s="318"/>
      <c r="D188" s="318"/>
      <c r="E188" s="318"/>
      <c r="F188" s="318"/>
    </row>
    <row r="189" spans="1:6" ht="14.25">
      <c r="A189" s="318"/>
      <c r="B189" s="318"/>
      <c r="C189" s="318"/>
      <c r="D189" s="318"/>
      <c r="E189" s="318"/>
      <c r="F189" s="318"/>
    </row>
    <row r="190" spans="1:6" ht="14.25">
      <c r="A190" s="318"/>
      <c r="B190" s="318"/>
      <c r="C190" s="318"/>
      <c r="D190" s="318"/>
      <c r="E190" s="318"/>
      <c r="F190" s="318"/>
    </row>
    <row r="191" spans="1:6" ht="14.25">
      <c r="A191" s="318"/>
      <c r="B191" s="318"/>
      <c r="C191" s="318"/>
      <c r="D191" s="318"/>
      <c r="E191" s="318"/>
      <c r="F191" s="318"/>
    </row>
    <row r="192" spans="1:6" ht="14.25">
      <c r="A192" s="318"/>
      <c r="B192" s="318"/>
      <c r="C192" s="318"/>
      <c r="D192" s="318"/>
      <c r="E192" s="318"/>
      <c r="F192" s="318"/>
    </row>
    <row r="193" spans="1:6" ht="14.25">
      <c r="A193" s="318"/>
      <c r="B193" s="318"/>
      <c r="C193" s="318"/>
      <c r="D193" s="318"/>
      <c r="E193" s="318"/>
      <c r="F193" s="318"/>
    </row>
    <row r="194" spans="1:6" ht="14.25">
      <c r="A194" s="318"/>
      <c r="B194" s="318"/>
      <c r="C194" s="318"/>
      <c r="D194" s="318"/>
      <c r="E194" s="318"/>
      <c r="F194" s="318"/>
    </row>
    <row r="195" spans="1:6" ht="14.25">
      <c r="A195" s="318"/>
      <c r="B195" s="318"/>
      <c r="C195" s="318"/>
      <c r="D195" s="318"/>
      <c r="E195" s="318"/>
      <c r="F195" s="318"/>
    </row>
    <row r="196" spans="1:6" ht="14.25">
      <c r="A196" s="318"/>
      <c r="B196" s="318"/>
      <c r="C196" s="318"/>
      <c r="D196" s="318"/>
      <c r="E196" s="318"/>
      <c r="F196" s="318"/>
    </row>
    <row r="197" spans="1:6" ht="14.25">
      <c r="A197" s="318"/>
      <c r="B197" s="318"/>
      <c r="C197" s="318"/>
      <c r="D197" s="318"/>
      <c r="E197" s="318"/>
      <c r="F197" s="318"/>
    </row>
    <row r="198" spans="1:6" ht="14.25">
      <c r="A198" s="318"/>
      <c r="B198" s="318"/>
      <c r="C198" s="318"/>
      <c r="D198" s="318"/>
      <c r="E198" s="318"/>
      <c r="F198" s="318"/>
    </row>
    <row r="199" spans="1:6" ht="14.25">
      <c r="A199" s="318"/>
      <c r="B199" s="318"/>
      <c r="C199" s="318"/>
      <c r="D199" s="318"/>
      <c r="E199" s="318"/>
      <c r="F199" s="318"/>
    </row>
    <row r="200" spans="1:6" ht="14.25">
      <c r="A200" s="318"/>
      <c r="B200" s="318"/>
      <c r="C200" s="318"/>
      <c r="D200" s="318"/>
      <c r="E200" s="318"/>
      <c r="F200" s="318"/>
    </row>
    <row r="201" spans="1:6" ht="14.25">
      <c r="A201" s="318"/>
      <c r="B201" s="318"/>
      <c r="C201" s="318"/>
      <c r="D201" s="318"/>
      <c r="E201" s="318"/>
      <c r="F201" s="318"/>
    </row>
    <row r="202" spans="1:6" ht="14.25">
      <c r="A202" s="318"/>
      <c r="B202" s="318"/>
      <c r="C202" s="318"/>
      <c r="D202" s="318"/>
      <c r="E202" s="318"/>
      <c r="F202" s="318"/>
    </row>
    <row r="203" spans="1:6" ht="14.25">
      <c r="A203" s="318"/>
      <c r="B203" s="318"/>
      <c r="C203" s="318"/>
      <c r="D203" s="318"/>
      <c r="E203" s="318"/>
      <c r="F203" s="318"/>
    </row>
    <row r="204" spans="1:6" ht="14.25">
      <c r="A204" s="318"/>
      <c r="B204" s="318"/>
      <c r="C204" s="318"/>
      <c r="D204" s="318"/>
      <c r="E204" s="318"/>
      <c r="F204" s="318"/>
    </row>
    <row r="205" spans="1:6" ht="14.25">
      <c r="A205" s="318"/>
      <c r="B205" s="318"/>
      <c r="C205" s="318"/>
      <c r="D205" s="318"/>
      <c r="E205" s="318"/>
      <c r="F205" s="318"/>
    </row>
    <row r="206" spans="1:6" ht="14.25">
      <c r="A206" s="318"/>
      <c r="B206" s="318"/>
      <c r="C206" s="318"/>
      <c r="D206" s="318"/>
      <c r="E206" s="318"/>
      <c r="F206" s="318"/>
    </row>
    <row r="207" spans="1:6" ht="14.25">
      <c r="A207" s="318"/>
      <c r="B207" s="318"/>
      <c r="C207" s="318"/>
      <c r="D207" s="318"/>
      <c r="E207" s="318"/>
      <c r="F207" s="318"/>
    </row>
    <row r="208" spans="1:6" ht="14.25">
      <c r="A208" s="318"/>
      <c r="B208" s="318"/>
      <c r="C208" s="318"/>
      <c r="D208" s="318"/>
      <c r="E208" s="318"/>
      <c r="F208" s="318"/>
    </row>
    <row r="209" spans="1:6" ht="14.25">
      <c r="A209" s="318"/>
      <c r="B209" s="318"/>
      <c r="C209" s="318"/>
      <c r="D209" s="318"/>
      <c r="E209" s="318"/>
      <c r="F209" s="318"/>
    </row>
    <row r="210" spans="1:6" ht="14.25">
      <c r="A210" s="318"/>
      <c r="B210" s="318"/>
      <c r="C210" s="318"/>
      <c r="D210" s="318"/>
      <c r="E210" s="318"/>
      <c r="F210" s="318"/>
    </row>
    <row r="211" spans="1:6" ht="14.25">
      <c r="A211" s="318"/>
      <c r="B211" s="318"/>
      <c r="C211" s="318"/>
      <c r="D211" s="318"/>
      <c r="E211" s="318"/>
      <c r="F211" s="318"/>
    </row>
    <row r="212" spans="1:6" ht="14.25">
      <c r="A212" s="318"/>
      <c r="B212" s="318"/>
      <c r="C212" s="318"/>
      <c r="D212" s="318"/>
      <c r="E212" s="318"/>
      <c r="F212" s="318"/>
    </row>
    <row r="213" spans="1:6" ht="14.25">
      <c r="A213" s="318"/>
      <c r="B213" s="318"/>
      <c r="C213" s="318"/>
      <c r="D213" s="318"/>
      <c r="E213" s="318"/>
      <c r="F213" s="318"/>
    </row>
    <row r="214" spans="1:6" ht="14.25">
      <c r="A214" s="318"/>
      <c r="B214" s="318"/>
      <c r="C214" s="318"/>
      <c r="D214" s="318"/>
      <c r="E214" s="318"/>
      <c r="F214" s="318"/>
    </row>
    <row r="215" spans="1:6" ht="14.25">
      <c r="A215" s="318"/>
      <c r="B215" s="318"/>
      <c r="C215" s="318"/>
      <c r="D215" s="318"/>
      <c r="E215" s="318"/>
      <c r="F215" s="318"/>
    </row>
    <row r="216" spans="1:6" ht="14.25">
      <c r="A216" s="318"/>
      <c r="B216" s="318"/>
      <c r="C216" s="318"/>
      <c r="D216" s="318"/>
      <c r="E216" s="318"/>
      <c r="F216" s="318"/>
    </row>
    <row r="217" spans="1:6" ht="14.25">
      <c r="A217" s="318"/>
      <c r="B217" s="318"/>
      <c r="C217" s="318"/>
      <c r="D217" s="318"/>
      <c r="E217" s="318"/>
      <c r="F217" s="318"/>
    </row>
    <row r="218" spans="1:6" ht="14.25">
      <c r="A218" s="318"/>
      <c r="B218" s="318"/>
      <c r="C218" s="318"/>
      <c r="D218" s="318"/>
      <c r="E218" s="318"/>
      <c r="F218" s="318"/>
    </row>
    <row r="219" spans="1:6" ht="14.25">
      <c r="A219" s="318"/>
      <c r="B219" s="318"/>
      <c r="C219" s="318"/>
      <c r="D219" s="318"/>
      <c r="E219" s="318"/>
      <c r="F219" s="318"/>
    </row>
    <row r="220" spans="1:6" ht="14.25">
      <c r="A220" s="318"/>
      <c r="B220" s="318"/>
      <c r="C220" s="318"/>
      <c r="D220" s="318"/>
      <c r="E220" s="318"/>
      <c r="F220" s="318"/>
    </row>
    <row r="221" spans="1:6" ht="14.25">
      <c r="A221" s="318"/>
      <c r="B221" s="318"/>
      <c r="C221" s="318"/>
      <c r="D221" s="318"/>
      <c r="E221" s="318"/>
      <c r="F221" s="318"/>
    </row>
    <row r="222" spans="1:6" ht="14.25">
      <c r="A222" s="318"/>
      <c r="B222" s="318"/>
      <c r="C222" s="318"/>
      <c r="D222" s="318"/>
      <c r="E222" s="318"/>
      <c r="F222" s="318"/>
    </row>
    <row r="223" spans="1:6" ht="14.25">
      <c r="A223" s="318"/>
      <c r="B223" s="318"/>
      <c r="C223" s="318"/>
      <c r="D223" s="318"/>
      <c r="E223" s="318"/>
      <c r="F223" s="318"/>
    </row>
    <row r="224" spans="1:6" ht="14.25">
      <c r="A224" s="318"/>
      <c r="B224" s="318"/>
      <c r="C224" s="318"/>
      <c r="D224" s="318"/>
      <c r="E224" s="318"/>
      <c r="F224" s="318"/>
    </row>
    <row r="225" spans="1:6" ht="14.25">
      <c r="A225" s="318"/>
      <c r="B225" s="318"/>
      <c r="C225" s="318"/>
      <c r="D225" s="318"/>
      <c r="E225" s="318"/>
      <c r="F225" s="318"/>
    </row>
    <row r="226" spans="1:6" ht="14.25">
      <c r="A226" s="318"/>
      <c r="B226" s="318"/>
      <c r="C226" s="318"/>
      <c r="D226" s="318"/>
      <c r="E226" s="318"/>
      <c r="F226" s="318"/>
    </row>
    <row r="227" spans="1:6" ht="14.25">
      <c r="A227" s="318"/>
      <c r="B227" s="318"/>
      <c r="C227" s="318"/>
      <c r="D227" s="318"/>
      <c r="E227" s="318"/>
      <c r="F227" s="318"/>
    </row>
    <row r="228" spans="1:6" ht="14.25">
      <c r="A228" s="318"/>
      <c r="B228" s="318"/>
      <c r="C228" s="318"/>
      <c r="D228" s="318"/>
      <c r="E228" s="318"/>
      <c r="F228" s="318"/>
    </row>
    <row r="229" spans="1:6" ht="14.25">
      <c r="A229" s="318"/>
      <c r="B229" s="318"/>
      <c r="C229" s="318"/>
      <c r="D229" s="318"/>
      <c r="E229" s="318"/>
      <c r="F229" s="318"/>
    </row>
    <row r="230" spans="1:6" ht="14.25">
      <c r="A230" s="318"/>
      <c r="B230" s="318"/>
      <c r="C230" s="318"/>
      <c r="D230" s="318"/>
      <c r="E230" s="318"/>
      <c r="F230" s="318"/>
    </row>
    <row r="231" spans="1:6" ht="14.25">
      <c r="A231" s="318"/>
      <c r="B231" s="318"/>
      <c r="C231" s="318"/>
      <c r="D231" s="318"/>
      <c r="E231" s="318"/>
      <c r="F231" s="318"/>
    </row>
    <row r="232" spans="1:6" ht="14.25">
      <c r="A232" s="318"/>
      <c r="B232" s="318"/>
      <c r="C232" s="318"/>
      <c r="D232" s="318"/>
      <c r="E232" s="318"/>
      <c r="F232" s="318"/>
    </row>
    <row r="233" spans="1:6" ht="14.25">
      <c r="A233" s="318"/>
      <c r="B233" s="318"/>
      <c r="C233" s="318"/>
      <c r="D233" s="318"/>
      <c r="E233" s="318"/>
      <c r="F233" s="318"/>
    </row>
    <row r="234" spans="1:6" ht="14.25">
      <c r="A234" s="318"/>
      <c r="B234" s="318"/>
      <c r="C234" s="318"/>
      <c r="D234" s="318"/>
      <c r="E234" s="318"/>
      <c r="F234" s="318"/>
    </row>
    <row r="235" spans="1:6" ht="14.25">
      <c r="A235" s="318"/>
      <c r="B235" s="318"/>
      <c r="C235" s="318"/>
      <c r="D235" s="318"/>
      <c r="E235" s="318"/>
      <c r="F235" s="318"/>
    </row>
    <row r="236" spans="1:6" ht="14.25">
      <c r="A236" s="318"/>
      <c r="B236" s="318"/>
      <c r="C236" s="318"/>
      <c r="D236" s="318"/>
      <c r="E236" s="318"/>
      <c r="F236" s="318"/>
    </row>
    <row r="237" spans="1:6" ht="14.25">
      <c r="A237" s="318"/>
      <c r="B237" s="318"/>
      <c r="C237" s="318"/>
      <c r="D237" s="318"/>
      <c r="E237" s="318"/>
      <c r="F237" s="318"/>
    </row>
    <row r="238" spans="1:6" ht="14.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B33"/>
  <sheetViews>
    <sheetView workbookViewId="0">
      <pane ySplit="1" topLeftCell="A2" activePane="bottomLeft" state="frozen"/>
      <selection pane="bottomLeft" activeCell="A24" sqref="A24"/>
    </sheetView>
  </sheetViews>
  <sheetFormatPr defaultRowHeight="12.75"/>
  <cols>
    <col min="1" max="1" width="49.85546875" style="1" bestFit="1" customWidth="1"/>
    <col min="2" max="2" width="11.5703125" style="1" bestFit="1" customWidth="1"/>
    <col min="3" max="3" width="9.85546875" style="1" bestFit="1" customWidth="1"/>
    <col min="4" max="4" width="11.7109375" style="1" bestFit="1" customWidth="1"/>
    <col min="5" max="5" width="10.85546875" style="1" bestFit="1" customWidth="1"/>
    <col min="6" max="6" width="9.85546875" style="1" bestFit="1" customWidth="1"/>
    <col min="7" max="7" width="11.28515625" style="1" bestFit="1" customWidth="1"/>
    <col min="8" max="8" width="11.140625" style="1" bestFit="1" customWidth="1"/>
    <col min="9" max="9" width="9.140625" style="1"/>
    <col min="10" max="10" width="11.5703125" style="1" bestFit="1" customWidth="1"/>
    <col min="11" max="11" width="9.140625" style="1"/>
    <col min="12" max="12" width="9.85546875" style="1" bestFit="1" customWidth="1"/>
    <col min="13" max="13" width="9.140625" style="1"/>
    <col min="14" max="14" width="11.5703125" style="1" bestFit="1" customWidth="1"/>
    <col min="15" max="15" width="9.140625" style="1"/>
    <col min="16" max="17" width="10.85546875" style="1" bestFit="1" customWidth="1"/>
    <col min="18" max="18" width="9.140625" style="1"/>
    <col min="19" max="19" width="9.42578125" style="1" bestFit="1" customWidth="1"/>
    <col min="20" max="20" width="10.85546875" style="1" bestFit="1" customWidth="1"/>
    <col min="21" max="21" width="11.140625" style="1" bestFit="1" customWidth="1"/>
    <col min="22" max="16384" width="9.140625" style="1"/>
  </cols>
  <sheetData>
    <row r="1" spans="1:28" ht="20.100000000000001" customHeight="1">
      <c r="A1" s="276" t="s">
        <v>342</v>
      </c>
      <c r="B1" s="277"/>
      <c r="C1" s="277"/>
      <c r="D1" s="277"/>
      <c r="E1" s="277"/>
      <c r="F1" s="277"/>
      <c r="G1" s="277"/>
      <c r="H1" s="277"/>
      <c r="I1" s="277"/>
      <c r="J1" s="277"/>
      <c r="K1" s="277"/>
      <c r="L1" s="277"/>
      <c r="M1" s="277"/>
      <c r="N1" s="277"/>
      <c r="O1" s="277"/>
    </row>
    <row r="3" spans="1:28">
      <c r="A3" s="23" t="s">
        <v>18</v>
      </c>
    </row>
    <row r="4" spans="1:28">
      <c r="A4" s="22" t="s">
        <v>469</v>
      </c>
    </row>
    <row r="5" spans="1:28">
      <c r="A5" s="51" t="s">
        <v>490</v>
      </c>
      <c r="B5" s="313"/>
    </row>
    <row r="6" spans="1:28">
      <c r="A6" s="22" t="s">
        <v>15</v>
      </c>
    </row>
    <row r="7" spans="1:28">
      <c r="A7" s="22" t="s">
        <v>491</v>
      </c>
    </row>
    <row r="8" spans="1:28">
      <c r="A8" s="22" t="s">
        <v>17</v>
      </c>
    </row>
    <row r="9" spans="1:28">
      <c r="A9" s="51" t="s">
        <v>381</v>
      </c>
      <c r="B9" s="361"/>
    </row>
    <row r="10" spans="1:28">
      <c r="A10" s="51" t="s">
        <v>428</v>
      </c>
      <c r="B10" s="362"/>
    </row>
    <row r="13" spans="1:28">
      <c r="A13" s="57" t="s">
        <v>372</v>
      </c>
      <c r="C13" s="22"/>
      <c r="D13" s="22"/>
      <c r="E13" s="22"/>
      <c r="F13" s="22"/>
      <c r="G13" s="22"/>
      <c r="H13" s="22"/>
      <c r="I13" s="22"/>
      <c r="J13" s="22"/>
      <c r="K13" s="22"/>
      <c r="L13" s="22"/>
      <c r="M13" s="22"/>
      <c r="N13" s="22"/>
      <c r="O13" s="22"/>
      <c r="P13" s="22"/>
      <c r="Q13" s="22"/>
      <c r="R13" s="22"/>
      <c r="S13" s="22"/>
      <c r="T13" s="22"/>
      <c r="U13" s="22"/>
      <c r="V13" s="22"/>
      <c r="W13" s="22"/>
      <c r="X13" s="22"/>
    </row>
    <row r="14" spans="1:28">
      <c r="A14" s="56" t="s">
        <v>39</v>
      </c>
      <c r="B14" s="44">
        <v>2</v>
      </c>
      <c r="C14" s="44">
        <v>3</v>
      </c>
      <c r="D14" s="44">
        <v>4</v>
      </c>
      <c r="E14" s="44">
        <v>5</v>
      </c>
      <c r="F14" s="44">
        <v>6</v>
      </c>
      <c r="G14" s="44">
        <v>7</v>
      </c>
      <c r="H14" s="44">
        <v>8</v>
      </c>
      <c r="I14" s="44">
        <v>9</v>
      </c>
      <c r="J14" s="44">
        <v>10</v>
      </c>
      <c r="K14" s="44">
        <v>11</v>
      </c>
      <c r="L14" s="44">
        <v>12</v>
      </c>
      <c r="M14" s="44">
        <v>13</v>
      </c>
      <c r="N14" s="44">
        <v>14</v>
      </c>
      <c r="O14" s="44">
        <v>15</v>
      </c>
      <c r="P14" s="44">
        <v>16</v>
      </c>
      <c r="Q14" s="44">
        <v>17</v>
      </c>
      <c r="R14" s="44">
        <v>18</v>
      </c>
      <c r="S14" s="44">
        <v>19</v>
      </c>
      <c r="T14" s="44">
        <v>20</v>
      </c>
      <c r="U14" s="44">
        <v>21</v>
      </c>
      <c r="V14" s="44">
        <v>22</v>
      </c>
      <c r="W14" s="44">
        <v>23</v>
      </c>
      <c r="X14" s="44">
        <v>24</v>
      </c>
      <c r="Y14" s="140">
        <v>25</v>
      </c>
      <c r="Z14" s="44">
        <v>26</v>
      </c>
      <c r="AA14" s="140">
        <v>27</v>
      </c>
      <c r="AB14" s="44">
        <v>28</v>
      </c>
    </row>
    <row r="15" spans="1:28">
      <c r="A15" s="30" t="s">
        <v>40</v>
      </c>
      <c r="B15" s="22"/>
      <c r="C15" s="22"/>
      <c r="D15" s="22"/>
      <c r="E15" s="22"/>
      <c r="F15" s="22"/>
      <c r="G15" s="22"/>
      <c r="H15" s="22"/>
      <c r="I15" s="22"/>
      <c r="J15" s="22"/>
      <c r="K15" s="22"/>
      <c r="L15" s="22"/>
      <c r="M15" s="22"/>
      <c r="N15" s="22"/>
      <c r="O15" s="22"/>
      <c r="P15" s="22"/>
      <c r="Q15" s="22"/>
      <c r="R15" s="22"/>
      <c r="S15" s="22"/>
      <c r="T15" s="22"/>
      <c r="U15" s="22"/>
      <c r="V15" s="22"/>
      <c r="W15" s="22"/>
      <c r="X15" s="22"/>
    </row>
    <row r="16" spans="1:28">
      <c r="A16" s="22" t="s">
        <v>469</v>
      </c>
      <c r="B16" s="22" t="s">
        <v>41</v>
      </c>
      <c r="C16" s="22" t="s">
        <v>42</v>
      </c>
      <c r="D16" s="22" t="s">
        <v>43</v>
      </c>
      <c r="E16" s="22" t="s">
        <v>44</v>
      </c>
      <c r="F16" s="22" t="s">
        <v>365</v>
      </c>
      <c r="G16" s="22"/>
      <c r="H16" s="22"/>
      <c r="I16" s="22"/>
      <c r="J16" s="22"/>
      <c r="K16" s="22"/>
      <c r="L16" s="22"/>
      <c r="M16" s="22"/>
      <c r="N16" s="22"/>
      <c r="O16" s="22"/>
      <c r="P16" s="22"/>
      <c r="Q16" s="22"/>
      <c r="R16" s="22"/>
      <c r="S16" s="22"/>
      <c r="T16" s="22"/>
      <c r="U16" s="22"/>
      <c r="V16" s="22"/>
      <c r="W16" s="22"/>
      <c r="X16" s="22"/>
      <c r="Y16" s="22"/>
      <c r="Z16" s="22"/>
      <c r="AA16" s="22"/>
      <c r="AB16" s="22"/>
    </row>
    <row r="17" spans="1:28">
      <c r="A17" s="51" t="s">
        <v>490</v>
      </c>
      <c r="B17" s="22" t="s">
        <v>45</v>
      </c>
      <c r="C17" s="22" t="s">
        <v>46</v>
      </c>
      <c r="D17" s="22" t="s">
        <v>47</v>
      </c>
      <c r="E17" s="22" t="s">
        <v>48</v>
      </c>
      <c r="F17" s="22" t="s">
        <v>49</v>
      </c>
      <c r="G17" s="22" t="s">
        <v>60</v>
      </c>
      <c r="H17" s="51" t="s">
        <v>60</v>
      </c>
      <c r="I17" s="22" t="s">
        <v>61</v>
      </c>
      <c r="J17" s="22" t="s">
        <v>61</v>
      </c>
      <c r="K17" s="22" t="s">
        <v>50</v>
      </c>
      <c r="L17" s="22" t="s">
        <v>51</v>
      </c>
      <c r="M17" s="22" t="s">
        <v>52</v>
      </c>
      <c r="N17" s="51" t="s">
        <v>100</v>
      </c>
      <c r="O17" s="22" t="s">
        <v>53</v>
      </c>
      <c r="P17" s="22" t="s">
        <v>54</v>
      </c>
      <c r="Q17" s="22" t="s">
        <v>62</v>
      </c>
      <c r="R17" s="22" t="s">
        <v>62</v>
      </c>
      <c r="S17" s="22" t="s">
        <v>55</v>
      </c>
      <c r="T17" s="22" t="s">
        <v>56</v>
      </c>
      <c r="U17" s="22" t="s">
        <v>63</v>
      </c>
      <c r="V17" s="22" t="s">
        <v>63</v>
      </c>
      <c r="W17" s="22" t="s">
        <v>57</v>
      </c>
      <c r="X17" s="22" t="s">
        <v>58</v>
      </c>
      <c r="Y17" s="22" t="s">
        <v>59</v>
      </c>
      <c r="Z17" s="22" t="s">
        <v>365</v>
      </c>
      <c r="AA17" s="22"/>
      <c r="AB17" s="22"/>
    </row>
    <row r="18" spans="1:28">
      <c r="A18" s="22" t="s">
        <v>15</v>
      </c>
      <c r="B18" s="22" t="s">
        <v>88</v>
      </c>
      <c r="C18" s="22" t="s">
        <v>90</v>
      </c>
      <c r="D18" s="22" t="s">
        <v>91</v>
      </c>
      <c r="E18" s="22" t="s">
        <v>92</v>
      </c>
      <c r="F18" s="22" t="s">
        <v>93</v>
      </c>
      <c r="G18" s="22" t="s">
        <v>95</v>
      </c>
      <c r="H18" s="22" t="s">
        <v>96</v>
      </c>
      <c r="I18" s="22" t="s">
        <v>97</v>
      </c>
      <c r="J18" s="22" t="s">
        <v>98</v>
      </c>
      <c r="K18" s="22" t="s">
        <v>99</v>
      </c>
      <c r="L18" s="22" t="s">
        <v>365</v>
      </c>
      <c r="M18" s="22"/>
      <c r="N18" s="22"/>
      <c r="O18" s="22"/>
      <c r="P18" s="22"/>
      <c r="Q18" s="22"/>
      <c r="R18" s="22"/>
      <c r="S18" s="22"/>
      <c r="T18" s="22"/>
      <c r="U18" s="22"/>
      <c r="V18" s="22"/>
      <c r="W18" s="22"/>
      <c r="X18" s="22"/>
      <c r="Y18" s="22"/>
      <c r="Z18" s="22"/>
      <c r="AA18" s="22"/>
      <c r="AB18" s="22"/>
    </row>
    <row r="19" spans="1:28">
      <c r="A19" s="22" t="s">
        <v>491</v>
      </c>
      <c r="B19" s="22" t="s">
        <v>101</v>
      </c>
      <c r="C19" s="22" t="s">
        <v>102</v>
      </c>
      <c r="D19" s="22" t="s">
        <v>103</v>
      </c>
      <c r="E19" s="22" t="s">
        <v>104</v>
      </c>
      <c r="F19" s="22" t="s">
        <v>105</v>
      </c>
      <c r="G19" s="22" t="s">
        <v>106</v>
      </c>
      <c r="H19" s="22" t="s">
        <v>135</v>
      </c>
      <c r="I19" s="22" t="s">
        <v>107</v>
      </c>
      <c r="J19" s="22" t="s">
        <v>108</v>
      </c>
      <c r="K19" s="22" t="s">
        <v>365</v>
      </c>
      <c r="L19" s="22"/>
      <c r="M19" s="22"/>
      <c r="N19" s="22"/>
      <c r="O19" s="22"/>
      <c r="P19" s="22"/>
      <c r="Q19" s="22"/>
      <c r="R19" s="22"/>
      <c r="S19" s="22"/>
      <c r="T19" s="22"/>
      <c r="U19" s="22"/>
      <c r="V19" s="22"/>
      <c r="W19" s="22"/>
      <c r="X19" s="22"/>
      <c r="Y19" s="22"/>
      <c r="Z19" s="22"/>
      <c r="AA19" s="22"/>
      <c r="AB19" s="22"/>
    </row>
    <row r="20" spans="1:28">
      <c r="A20" s="22" t="s">
        <v>17</v>
      </c>
      <c r="B20" s="22" t="s">
        <v>109</v>
      </c>
      <c r="C20" s="22" t="s">
        <v>110</v>
      </c>
      <c r="D20" s="22" t="s">
        <v>111</v>
      </c>
      <c r="E20" s="22" t="s">
        <v>112</v>
      </c>
      <c r="F20" s="22" t="s">
        <v>113</v>
      </c>
      <c r="G20" s="22" t="s">
        <v>114</v>
      </c>
      <c r="H20" s="22" t="s">
        <v>115</v>
      </c>
      <c r="I20" s="22" t="s">
        <v>116</v>
      </c>
      <c r="J20" s="22" t="s">
        <v>117</v>
      </c>
      <c r="K20" s="22" t="s">
        <v>365</v>
      </c>
      <c r="L20" s="22"/>
      <c r="M20" s="22"/>
      <c r="N20" s="22"/>
      <c r="O20" s="22"/>
      <c r="P20" s="22"/>
      <c r="Q20" s="22"/>
      <c r="R20" s="22"/>
      <c r="S20" s="22"/>
      <c r="T20" s="22"/>
      <c r="U20" s="22"/>
      <c r="V20" s="22"/>
      <c r="W20" s="22"/>
      <c r="X20" s="22"/>
      <c r="Y20" s="22"/>
      <c r="Z20" s="22"/>
      <c r="AA20" s="22"/>
      <c r="AB20" s="22"/>
    </row>
    <row r="21" spans="1:28">
      <c r="A21" s="51" t="s">
        <v>381</v>
      </c>
      <c r="B21" s="22" t="s">
        <v>69</v>
      </c>
      <c r="C21" s="22" t="s">
        <v>70</v>
      </c>
      <c r="D21" s="22" t="s">
        <v>64</v>
      </c>
      <c r="E21" s="22" t="s">
        <v>71</v>
      </c>
      <c r="F21" s="22" t="s">
        <v>65</v>
      </c>
      <c r="G21" s="22" t="s">
        <v>72</v>
      </c>
      <c r="H21" s="384" t="s">
        <v>89</v>
      </c>
      <c r="I21" s="22" t="s">
        <v>73</v>
      </c>
      <c r="J21" s="22" t="s">
        <v>74</v>
      </c>
      <c r="K21" s="22" t="s">
        <v>75</v>
      </c>
      <c r="L21" s="22" t="s">
        <v>76</v>
      </c>
      <c r="M21" s="22" t="s">
        <v>77</v>
      </c>
      <c r="N21" s="22" t="s">
        <v>78</v>
      </c>
      <c r="O21" s="22" t="s">
        <v>79</v>
      </c>
      <c r="P21" s="22" t="s">
        <v>80</v>
      </c>
      <c r="Q21" s="51" t="s">
        <v>94</v>
      </c>
      <c r="R21" s="22" t="s">
        <v>66</v>
      </c>
      <c r="S21" s="22" t="s">
        <v>81</v>
      </c>
      <c r="T21" s="22" t="s">
        <v>67</v>
      </c>
      <c r="U21" s="22" t="s">
        <v>82</v>
      </c>
      <c r="V21" s="22" t="s">
        <v>83</v>
      </c>
      <c r="W21" s="22" t="s">
        <v>68</v>
      </c>
      <c r="X21" s="22" t="s">
        <v>84</v>
      </c>
      <c r="Y21" s="22" t="s">
        <v>85</v>
      </c>
      <c r="Z21" s="22" t="s">
        <v>86</v>
      </c>
      <c r="AA21" s="314" t="s">
        <v>87</v>
      </c>
      <c r="AB21" s="51" t="s">
        <v>365</v>
      </c>
    </row>
    <row r="22" spans="1:28">
      <c r="A22" s="51" t="s">
        <v>428</v>
      </c>
      <c r="B22" s="22" t="s">
        <v>118</v>
      </c>
      <c r="C22" s="22" t="s">
        <v>119</v>
      </c>
      <c r="D22" s="22" t="s">
        <v>120</v>
      </c>
      <c r="E22" s="22" t="s">
        <v>121</v>
      </c>
      <c r="F22" s="22" t="s">
        <v>122</v>
      </c>
      <c r="G22" s="22" t="s">
        <v>123</v>
      </c>
      <c r="H22" s="22" t="s">
        <v>124</v>
      </c>
      <c r="I22" s="22" t="s">
        <v>125</v>
      </c>
      <c r="J22" s="22" t="s">
        <v>126</v>
      </c>
      <c r="K22" s="22" t="s">
        <v>127</v>
      </c>
      <c r="L22" s="22" t="s">
        <v>128</v>
      </c>
      <c r="M22" s="22" t="s">
        <v>129</v>
      </c>
      <c r="N22" s="22" t="s">
        <v>130</v>
      </c>
      <c r="O22" s="22" t="s">
        <v>131</v>
      </c>
      <c r="P22" s="22" t="s">
        <v>132</v>
      </c>
      <c r="Q22" s="22" t="s">
        <v>133</v>
      </c>
      <c r="R22" s="22" t="s">
        <v>134</v>
      </c>
      <c r="S22" s="22" t="s">
        <v>136</v>
      </c>
      <c r="T22" s="22" t="s">
        <v>137</v>
      </c>
      <c r="U22" s="22" t="s">
        <v>138</v>
      </c>
      <c r="V22" s="22" t="s">
        <v>139</v>
      </c>
      <c r="W22" s="22" t="s">
        <v>140</v>
      </c>
      <c r="X22" s="22" t="s">
        <v>365</v>
      </c>
      <c r="Y22" s="22"/>
      <c r="Z22" s="22"/>
      <c r="AA22" s="22"/>
      <c r="AB22" s="22"/>
    </row>
    <row r="24" spans="1:28">
      <c r="A24" s="57" t="s">
        <v>371</v>
      </c>
      <c r="C24" s="22"/>
      <c r="D24" s="22"/>
      <c r="E24" s="22"/>
      <c r="F24" s="22"/>
      <c r="G24" s="22"/>
      <c r="H24" s="22"/>
      <c r="I24" s="22"/>
      <c r="J24" s="22"/>
      <c r="K24" s="22"/>
      <c r="L24" s="22"/>
      <c r="M24" s="22"/>
      <c r="N24" s="22"/>
      <c r="O24" s="22"/>
      <c r="P24" s="22"/>
      <c r="Q24" s="22"/>
      <c r="R24" s="22"/>
      <c r="S24" s="22"/>
      <c r="T24" s="22"/>
      <c r="U24" s="22"/>
      <c r="V24" s="22"/>
      <c r="W24" s="22"/>
      <c r="X24" s="22"/>
    </row>
    <row r="25" spans="1:28">
      <c r="A25" s="56" t="s">
        <v>39</v>
      </c>
      <c r="B25" s="44">
        <v>2</v>
      </c>
      <c r="C25" s="44">
        <v>3</v>
      </c>
      <c r="D25" s="44">
        <v>4</v>
      </c>
      <c r="E25" s="44">
        <v>5</v>
      </c>
      <c r="F25" s="44">
        <v>6</v>
      </c>
      <c r="G25" s="44">
        <v>7</v>
      </c>
      <c r="H25" s="44">
        <v>8</v>
      </c>
      <c r="I25" s="44">
        <v>9</v>
      </c>
      <c r="J25" s="44">
        <v>10</v>
      </c>
      <c r="K25" s="44">
        <v>11</v>
      </c>
      <c r="L25" s="44">
        <v>12</v>
      </c>
      <c r="M25" s="44">
        <v>13</v>
      </c>
      <c r="N25" s="44">
        <v>14</v>
      </c>
      <c r="O25" s="44">
        <v>15</v>
      </c>
      <c r="P25" s="44">
        <v>16</v>
      </c>
      <c r="Q25" s="44">
        <v>17</v>
      </c>
      <c r="R25" s="44">
        <v>18</v>
      </c>
      <c r="S25" s="44">
        <v>19</v>
      </c>
      <c r="T25" s="44">
        <v>20</v>
      </c>
      <c r="U25" s="44">
        <v>21</v>
      </c>
      <c r="V25" s="44">
        <v>22</v>
      </c>
      <c r="W25" s="44">
        <v>23</v>
      </c>
      <c r="X25" s="44">
        <v>24</v>
      </c>
      <c r="Y25" s="140">
        <v>25</v>
      </c>
      <c r="Z25" s="44">
        <v>26</v>
      </c>
      <c r="AA25" s="140">
        <v>27</v>
      </c>
    </row>
    <row r="26" spans="1:28">
      <c r="A26" s="30" t="s">
        <v>40</v>
      </c>
      <c r="B26" s="22"/>
      <c r="C26" s="22"/>
      <c r="D26" s="22"/>
      <c r="E26" s="22"/>
      <c r="F26" s="22"/>
      <c r="G26" s="22"/>
      <c r="H26" s="22"/>
      <c r="I26" s="22"/>
      <c r="J26" s="22"/>
      <c r="K26" s="22"/>
      <c r="L26" s="22"/>
      <c r="M26" s="22"/>
      <c r="N26" s="22"/>
      <c r="O26" s="22"/>
      <c r="P26" s="22"/>
      <c r="Q26" s="22"/>
      <c r="R26" s="22"/>
      <c r="S26" s="22"/>
      <c r="T26" s="22"/>
      <c r="U26" s="22"/>
      <c r="V26" s="22"/>
      <c r="W26" s="22"/>
      <c r="X26" s="22"/>
    </row>
    <row r="27" spans="1:28">
      <c r="A27" s="22" t="s">
        <v>469</v>
      </c>
      <c r="B27" s="22" t="s">
        <v>41</v>
      </c>
      <c r="C27" s="22" t="s">
        <v>42</v>
      </c>
      <c r="D27" s="22" t="s">
        <v>43</v>
      </c>
      <c r="E27" s="22" t="s">
        <v>44</v>
      </c>
      <c r="F27" s="22"/>
      <c r="G27" s="22"/>
      <c r="H27" s="22"/>
      <c r="I27" s="22"/>
      <c r="J27" s="22"/>
      <c r="K27" s="22"/>
      <c r="L27" s="22"/>
      <c r="M27" s="22"/>
      <c r="N27" s="22"/>
      <c r="O27" s="22"/>
      <c r="P27" s="22"/>
      <c r="Q27" s="22"/>
      <c r="R27" s="22"/>
      <c r="S27" s="22"/>
      <c r="T27" s="22"/>
      <c r="U27" s="22"/>
      <c r="V27" s="22"/>
      <c r="W27" s="22"/>
      <c r="X27" s="22"/>
      <c r="Y27" s="22"/>
      <c r="Z27" s="22"/>
      <c r="AA27" s="22"/>
      <c r="AB27" s="22"/>
    </row>
    <row r="28" spans="1:28">
      <c r="A28" s="51" t="s">
        <v>490</v>
      </c>
      <c r="B28" s="22" t="s">
        <v>45</v>
      </c>
      <c r="C28" s="22" t="s">
        <v>46</v>
      </c>
      <c r="D28" s="22" t="s">
        <v>47</v>
      </c>
      <c r="E28" s="22" t="s">
        <v>48</v>
      </c>
      <c r="F28" s="22" t="s">
        <v>49</v>
      </c>
      <c r="G28" s="32" t="s">
        <v>60</v>
      </c>
      <c r="H28" s="32" t="s">
        <v>60</v>
      </c>
      <c r="I28" s="22" t="s">
        <v>61</v>
      </c>
      <c r="J28" s="22" t="s">
        <v>61</v>
      </c>
      <c r="K28" s="22" t="s">
        <v>50</v>
      </c>
      <c r="L28" s="51" t="s">
        <v>51</v>
      </c>
      <c r="M28" s="22" t="s">
        <v>52</v>
      </c>
      <c r="N28" s="22" t="s">
        <v>100</v>
      </c>
      <c r="O28" s="32" t="s">
        <v>53</v>
      </c>
      <c r="P28" s="22" t="s">
        <v>54</v>
      </c>
      <c r="Q28" s="22" t="s">
        <v>62</v>
      </c>
      <c r="R28" s="32" t="s">
        <v>62</v>
      </c>
      <c r="S28" s="22" t="s">
        <v>55</v>
      </c>
      <c r="T28" s="22" t="s">
        <v>56</v>
      </c>
      <c r="U28" s="22" t="s">
        <v>63</v>
      </c>
      <c r="V28" s="22" t="s">
        <v>63</v>
      </c>
      <c r="W28" s="22" t="s">
        <v>57</v>
      </c>
      <c r="X28" s="22" t="s">
        <v>58</v>
      </c>
      <c r="Y28" s="22" t="s">
        <v>59</v>
      </c>
      <c r="Z28" s="22"/>
      <c r="AA28" s="22"/>
      <c r="AB28" s="22"/>
    </row>
    <row r="29" spans="1:28">
      <c r="A29" s="22" t="s">
        <v>15</v>
      </c>
      <c r="B29" s="22" t="s">
        <v>88</v>
      </c>
      <c r="C29" s="22" t="s">
        <v>90</v>
      </c>
      <c r="D29" s="22" t="s">
        <v>91</v>
      </c>
      <c r="E29" s="22" t="s">
        <v>92</v>
      </c>
      <c r="F29" s="22" t="s">
        <v>93</v>
      </c>
      <c r="G29" s="22" t="s">
        <v>95</v>
      </c>
      <c r="H29" s="22" t="s">
        <v>96</v>
      </c>
      <c r="I29" s="22" t="s">
        <v>97</v>
      </c>
      <c r="J29" s="22" t="s">
        <v>98</v>
      </c>
      <c r="K29" s="22" t="s">
        <v>99</v>
      </c>
      <c r="L29" s="22"/>
      <c r="M29" s="22"/>
      <c r="N29" s="22"/>
      <c r="O29" s="22"/>
      <c r="P29" s="22"/>
      <c r="Q29" s="22"/>
      <c r="R29" s="22"/>
      <c r="S29" s="22"/>
      <c r="T29" s="22"/>
      <c r="U29" s="22"/>
      <c r="V29" s="22"/>
      <c r="W29" s="22"/>
      <c r="X29" s="22"/>
      <c r="Y29" s="22"/>
      <c r="Z29" s="22"/>
      <c r="AA29" s="22"/>
      <c r="AB29" s="22"/>
    </row>
    <row r="30" spans="1:28">
      <c r="A30" s="22" t="s">
        <v>491</v>
      </c>
      <c r="B30" s="22" t="s">
        <v>101</v>
      </c>
      <c r="C30" s="22" t="s">
        <v>102</v>
      </c>
      <c r="D30" s="22" t="s">
        <v>103</v>
      </c>
      <c r="E30" s="22" t="s">
        <v>104</v>
      </c>
      <c r="F30" s="22" t="s">
        <v>105</v>
      </c>
      <c r="G30" s="22" t="s">
        <v>106</v>
      </c>
      <c r="H30" s="22" t="s">
        <v>135</v>
      </c>
      <c r="I30" s="22" t="s">
        <v>107</v>
      </c>
      <c r="J30" s="22" t="s">
        <v>108</v>
      </c>
      <c r="K30" s="22"/>
      <c r="L30" s="22"/>
      <c r="M30" s="22"/>
      <c r="N30" s="22"/>
      <c r="O30" s="22"/>
      <c r="P30" s="22"/>
      <c r="Q30" s="22"/>
      <c r="R30" s="22"/>
      <c r="S30" s="22"/>
      <c r="T30" s="22"/>
      <c r="U30" s="22"/>
      <c r="V30" s="22"/>
      <c r="W30" s="22"/>
      <c r="X30" s="22"/>
      <c r="Y30" s="22"/>
      <c r="Z30" s="22"/>
      <c r="AA30" s="22"/>
      <c r="AB30" s="22"/>
    </row>
    <row r="31" spans="1:28">
      <c r="A31" s="22" t="s">
        <v>17</v>
      </c>
      <c r="B31" s="22" t="s">
        <v>109</v>
      </c>
      <c r="C31" s="22" t="s">
        <v>110</v>
      </c>
      <c r="D31" s="22" t="s">
        <v>111</v>
      </c>
      <c r="E31" s="22" t="s">
        <v>112</v>
      </c>
      <c r="F31" s="22" t="s">
        <v>113</v>
      </c>
      <c r="G31" s="22" t="s">
        <v>114</v>
      </c>
      <c r="H31" s="22" t="s">
        <v>115</v>
      </c>
      <c r="I31" s="22" t="s">
        <v>116</v>
      </c>
      <c r="J31" s="22" t="s">
        <v>117</v>
      </c>
      <c r="K31" s="22"/>
      <c r="L31" s="22"/>
      <c r="M31" s="22"/>
      <c r="N31" s="22"/>
      <c r="O31" s="22"/>
      <c r="P31" s="22"/>
      <c r="Q31" s="22"/>
      <c r="R31" s="22"/>
      <c r="S31" s="22"/>
      <c r="T31" s="22"/>
      <c r="U31" s="22"/>
      <c r="V31" s="22"/>
      <c r="W31" s="22"/>
      <c r="X31" s="22"/>
      <c r="Y31" s="22"/>
      <c r="Z31" s="22"/>
      <c r="AA31" s="22"/>
      <c r="AB31" s="22"/>
    </row>
    <row r="32" spans="1:28">
      <c r="A32" s="51" t="s">
        <v>381</v>
      </c>
      <c r="B32" s="22" t="s">
        <v>69</v>
      </c>
      <c r="C32" s="22" t="s">
        <v>70</v>
      </c>
      <c r="D32" s="22" t="s">
        <v>64</v>
      </c>
      <c r="E32" s="22" t="s">
        <v>71</v>
      </c>
      <c r="F32" s="22" t="s">
        <v>65</v>
      </c>
      <c r="G32" s="22" t="s">
        <v>72</v>
      </c>
      <c r="H32" s="22" t="s">
        <v>89</v>
      </c>
      <c r="I32" s="22" t="s">
        <v>73</v>
      </c>
      <c r="J32" s="22" t="s">
        <v>74</v>
      </c>
      <c r="K32" s="22" t="s">
        <v>75</v>
      </c>
      <c r="L32" s="22" t="s">
        <v>76</v>
      </c>
      <c r="M32" s="22" t="s">
        <v>77</v>
      </c>
      <c r="N32" s="22" t="s">
        <v>78</v>
      </c>
      <c r="O32" s="22" t="s">
        <v>79</v>
      </c>
      <c r="P32" s="51" t="s">
        <v>80</v>
      </c>
      <c r="Q32" s="22" t="s">
        <v>94</v>
      </c>
      <c r="R32" s="22" t="s">
        <v>66</v>
      </c>
      <c r="S32" s="22" t="s">
        <v>81</v>
      </c>
      <c r="T32" s="22" t="s">
        <v>67</v>
      </c>
      <c r="U32" s="22" t="s">
        <v>82</v>
      </c>
      <c r="V32" s="22" t="s">
        <v>83</v>
      </c>
      <c r="W32" s="22" t="s">
        <v>68</v>
      </c>
      <c r="X32" s="22" t="s">
        <v>84</v>
      </c>
      <c r="Y32" s="22" t="s">
        <v>85</v>
      </c>
      <c r="Z32" s="314" t="s">
        <v>86</v>
      </c>
      <c r="AA32" s="314" t="s">
        <v>87</v>
      </c>
      <c r="AB32" s="22"/>
    </row>
    <row r="33" spans="1:28">
      <c r="A33" s="51" t="s">
        <v>428</v>
      </c>
      <c r="B33" s="22" t="s">
        <v>118</v>
      </c>
      <c r="C33" s="22" t="s">
        <v>119</v>
      </c>
      <c r="D33" s="22" t="s">
        <v>120</v>
      </c>
      <c r="E33" s="22" t="s">
        <v>121</v>
      </c>
      <c r="F33" s="22" t="s">
        <v>122</v>
      </c>
      <c r="G33" s="22" t="s">
        <v>123</v>
      </c>
      <c r="H33" s="22" t="s">
        <v>124</v>
      </c>
      <c r="I33" s="22" t="s">
        <v>125</v>
      </c>
      <c r="J33" s="22" t="s">
        <v>126</v>
      </c>
      <c r="K33" s="22" t="s">
        <v>127</v>
      </c>
      <c r="L33" s="22" t="s">
        <v>128</v>
      </c>
      <c r="M33" s="22" t="s">
        <v>129</v>
      </c>
      <c r="N33" s="22" t="s">
        <v>130</v>
      </c>
      <c r="O33" s="22" t="s">
        <v>131</v>
      </c>
      <c r="P33" s="22" t="s">
        <v>132</v>
      </c>
      <c r="Q33" s="22" t="s">
        <v>133</v>
      </c>
      <c r="R33" s="22" t="s">
        <v>134</v>
      </c>
      <c r="S33" s="22" t="s">
        <v>136</v>
      </c>
      <c r="T33" s="22" t="s">
        <v>137</v>
      </c>
      <c r="U33" s="22" t="s">
        <v>138</v>
      </c>
      <c r="V33" s="22" t="s">
        <v>139</v>
      </c>
      <c r="W33" s="22" t="s">
        <v>140</v>
      </c>
      <c r="X33" s="22"/>
      <c r="Y33" s="22"/>
      <c r="Z33" s="22"/>
      <c r="AA33" s="22"/>
      <c r="AB33" s="22"/>
    </row>
  </sheetData>
  <sheetProtection sheet="1" objects="1" scenarios="1"/>
  <sortState xmlns:xlrd2="http://schemas.microsoft.com/office/spreadsheetml/2017/richdata2" columnSort="1" ref="H30:J30">
    <sortCondition ref="H30:J30"/>
  </sortState>
  <conditionalFormatting sqref="B27:Y27 B16:AA16 Z27:AA28 B33:AA33 B31:AA31 B30:I30 K30:AA30 B19:AB20 B22:AB22 AB27:AB33">
    <cfRule type="cellIs" dxfId="14" priority="43" operator="equal">
      <formula>""</formula>
    </cfRule>
  </conditionalFormatting>
  <conditionalFormatting sqref="B27:X27">
    <cfRule type="cellIs" dxfId="13" priority="38" operator="equal">
      <formula>""</formula>
    </cfRule>
  </conditionalFormatting>
  <conditionalFormatting sqref="Y27">
    <cfRule type="cellIs" dxfId="12" priority="37" operator="equal">
      <formula>""</formula>
    </cfRule>
  </conditionalFormatting>
  <conditionalFormatting sqref="B17:AA17">
    <cfRule type="cellIs" dxfId="11" priority="30" operator="equal">
      <formula>""</formula>
    </cfRule>
  </conditionalFormatting>
  <conditionalFormatting sqref="B28:Y28">
    <cfRule type="cellIs" dxfId="10" priority="29" operator="equal">
      <formula>""</formula>
    </cfRule>
  </conditionalFormatting>
  <conditionalFormatting sqref="Y28">
    <cfRule type="cellIs" dxfId="9" priority="27" operator="equal">
      <formula>""</formula>
    </cfRule>
  </conditionalFormatting>
  <conditionalFormatting sqref="AB16:AB17">
    <cfRule type="cellIs" dxfId="8" priority="24" operator="equal">
      <formula>""</formula>
    </cfRule>
  </conditionalFormatting>
  <conditionalFormatting sqref="L29:AA29">
    <cfRule type="cellIs" dxfId="7" priority="16" operator="equal">
      <formula>""</formula>
    </cfRule>
  </conditionalFormatting>
  <conditionalFormatting sqref="B18:AA18">
    <cfRule type="cellIs" dxfId="6" priority="12" operator="equal">
      <formula>""</formula>
    </cfRule>
  </conditionalFormatting>
  <conditionalFormatting sqref="AB18">
    <cfRule type="cellIs" dxfId="5" priority="11" operator="equal">
      <formula>""</formula>
    </cfRule>
  </conditionalFormatting>
  <conditionalFormatting sqref="B21:AA21">
    <cfRule type="cellIs" dxfId="4" priority="8" operator="equal">
      <formula>""</formula>
    </cfRule>
  </conditionalFormatting>
  <conditionalFormatting sqref="AB21">
    <cfRule type="cellIs" dxfId="3" priority="7" operator="equal">
      <formula>""</formula>
    </cfRule>
  </conditionalFormatting>
  <conditionalFormatting sqref="B32:AA32">
    <cfRule type="cellIs" dxfId="2" priority="4" operator="equal">
      <formula>""</formula>
    </cfRule>
  </conditionalFormatting>
  <conditionalFormatting sqref="B29:K29">
    <cfRule type="cellIs" dxfId="1" priority="2" operator="equal">
      <formula>""</formula>
    </cfRule>
  </conditionalFormatting>
  <conditionalFormatting sqref="J30">
    <cfRule type="cellIs" dxfId="0" priority="1" operator="equal">
      <formula>""</formula>
    </cfRule>
  </conditionalFormatting>
  <printOptions horizontalCentered="1"/>
  <pageMargins left="0.3" right="0.3" top="0.5" bottom="0.5" header="0.3" footer="0.3"/>
  <pageSetup scale="2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AZ79"/>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A20" sqref="A20"/>
    </sheetView>
  </sheetViews>
  <sheetFormatPr defaultRowHeight="12.75"/>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c r="A1" s="35" t="s">
        <v>23</v>
      </c>
      <c r="N1" s="30" t="s">
        <v>254</v>
      </c>
      <c r="Z1" s="30" t="s">
        <v>254</v>
      </c>
      <c r="AL1" s="30" t="s">
        <v>254</v>
      </c>
    </row>
    <row r="2" spans="1:52" ht="15" customHeight="1">
      <c r="A2" s="35" t="s">
        <v>187</v>
      </c>
      <c r="N2" s="214" t="s">
        <v>255</v>
      </c>
      <c r="Z2" s="214" t="s">
        <v>255</v>
      </c>
      <c r="AL2" s="214" t="s">
        <v>255</v>
      </c>
    </row>
    <row r="3" spans="1:52" ht="15" customHeight="1">
      <c r="A3" s="30" t="s">
        <v>185</v>
      </c>
      <c r="C3" s="138">
        <f>IF('Set-Up Worksheet'!F3="","Data Not Entered On Set-Up Worksheet",'Set-Up Worksheet'!F3)</f>
        <v>2021</v>
      </c>
      <c r="F3" s="37"/>
      <c r="I3" s="37"/>
      <c r="L3" s="37"/>
      <c r="O3" s="138">
        <f t="shared" ref="O3:O11" si="0">C3</f>
        <v>2021</v>
      </c>
      <c r="R3" s="37"/>
      <c r="U3" s="37"/>
      <c r="X3" s="37"/>
      <c r="AA3" s="138">
        <f t="shared" ref="AA3:AA11" si="1">C3</f>
        <v>2021</v>
      </c>
      <c r="AD3" s="37"/>
      <c r="AG3" s="37"/>
      <c r="AJ3" s="37"/>
      <c r="AM3" s="138">
        <f t="shared" ref="AM3:AM11" si="2">C3</f>
        <v>2021</v>
      </c>
    </row>
    <row r="4" spans="1:52" ht="15" customHeight="1">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c r="A5" s="30"/>
      <c r="C5" s="32"/>
      <c r="F5" s="32"/>
      <c r="I5" s="32"/>
      <c r="L5" s="32"/>
      <c r="O5" s="38"/>
      <c r="R5" s="32"/>
      <c r="U5" s="32"/>
      <c r="X5" s="32"/>
      <c r="AA5" s="38"/>
      <c r="AD5" s="32"/>
      <c r="AG5" s="32"/>
      <c r="AJ5" s="32"/>
      <c r="AM5" s="38"/>
    </row>
    <row r="6" spans="1:52" ht="15" customHeight="1">
      <c r="A6" s="30" t="s">
        <v>192</v>
      </c>
      <c r="C6" s="32"/>
      <c r="F6" s="32"/>
      <c r="I6" s="32"/>
      <c r="L6" s="32"/>
      <c r="N6" s="30"/>
      <c r="O6" s="38"/>
      <c r="R6" s="32"/>
      <c r="U6" s="32"/>
      <c r="X6" s="32"/>
      <c r="Z6" s="30"/>
      <c r="AA6" s="38"/>
      <c r="AD6" s="32"/>
      <c r="AG6" s="32"/>
      <c r="AJ6" s="32"/>
      <c r="AL6" s="30"/>
      <c r="AM6" s="38"/>
    </row>
    <row r="7" spans="1:52" ht="15" customHeight="1">
      <c r="A7" s="30" t="s">
        <v>193</v>
      </c>
      <c r="C7" s="32"/>
      <c r="F7" s="32"/>
      <c r="I7" s="32"/>
      <c r="L7" s="32"/>
      <c r="N7" s="214" t="s">
        <v>259</v>
      </c>
      <c r="O7" s="38"/>
      <c r="R7" s="32"/>
      <c r="U7" s="32"/>
      <c r="X7" s="32"/>
      <c r="Z7" s="214" t="s">
        <v>259</v>
      </c>
      <c r="AA7" s="38"/>
      <c r="AD7" s="32"/>
      <c r="AG7" s="32"/>
      <c r="AJ7" s="32"/>
      <c r="AL7" s="214" t="s">
        <v>259</v>
      </c>
      <c r="AM7" s="38"/>
    </row>
    <row r="8" spans="1:52" ht="15" customHeight="1">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c r="A11" s="30" t="s">
        <v>188</v>
      </c>
      <c r="C11" s="39" t="str">
        <f>IF(C4="Data Not Entered On Set-Up Worksheet","Data Not Entered On Set-Up Worksheet",IF(C4="1st Quarter",'Report Schedule'!D13,IF(C4="2nd Quarter",'Report Schedule'!E13,IF(C4="3rd Quarter",'Report Schedule'!F13,IF(C4="4th Quarter",'Report Schedule'!G13,"")))))</f>
        <v>Apr - Jun 2020</v>
      </c>
      <c r="F11" s="248" t="s">
        <v>337</v>
      </c>
      <c r="I11" s="39"/>
      <c r="L11" s="39"/>
      <c r="O11" s="39" t="str">
        <f t="shared" si="0"/>
        <v>Apr - Jun 2020</v>
      </c>
      <c r="R11" s="39"/>
      <c r="U11" s="39"/>
      <c r="X11" s="39"/>
      <c r="AA11" s="39" t="str">
        <f t="shared" si="1"/>
        <v>Apr - Jun 2020</v>
      </c>
      <c r="AD11" s="39"/>
      <c r="AG11" s="39"/>
      <c r="AJ11" s="39"/>
      <c r="AM11" s="39" t="str">
        <f t="shared" si="2"/>
        <v>Apr - Jun 2020</v>
      </c>
    </row>
    <row r="12" spans="1:52" ht="15" customHeight="1">
      <c r="A12" s="30"/>
      <c r="C12" s="39"/>
      <c r="I12" s="39"/>
      <c r="L12" s="39"/>
      <c r="O12" s="39"/>
      <c r="R12" s="39"/>
      <c r="U12" s="39"/>
      <c r="X12" s="39"/>
      <c r="AA12" s="39"/>
      <c r="AD12" s="39"/>
      <c r="AG12" s="39"/>
      <c r="AJ12" s="39"/>
      <c r="AM12" s="39"/>
    </row>
    <row r="13" spans="1:52" ht="20.100000000000001" customHeight="1">
      <c r="A13" s="205" t="s">
        <v>233</v>
      </c>
      <c r="B13" s="159" t="str">
        <f>"Measurement Period:  "&amp;$C$11</f>
        <v>Measurement Period:  Apr - Jun 2020</v>
      </c>
      <c r="C13" s="159"/>
      <c r="D13" s="159"/>
      <c r="E13" s="159"/>
      <c r="F13" s="159"/>
      <c r="G13" s="159"/>
      <c r="H13" s="159"/>
      <c r="I13" s="159"/>
      <c r="J13" s="159"/>
      <c r="K13" s="159"/>
      <c r="L13" s="159"/>
      <c r="M13" s="159"/>
      <c r="N13" s="159" t="str">
        <f>"Measurement Period:  "&amp;$C$11</f>
        <v>Measurement Period:  Apr - Jun 2020</v>
      </c>
      <c r="O13" s="159"/>
      <c r="P13" s="159"/>
      <c r="Q13" s="159"/>
      <c r="R13" s="159"/>
      <c r="S13" s="159"/>
      <c r="T13" s="159"/>
      <c r="U13" s="159"/>
      <c r="V13" s="159"/>
      <c r="W13" s="159"/>
      <c r="X13" s="159"/>
      <c r="Y13" s="159"/>
      <c r="Z13" s="159" t="str">
        <f>"Measurement Period:  "&amp;$C$11</f>
        <v>Measurement Period:  Apr - Jun 2020</v>
      </c>
      <c r="AA13" s="159"/>
      <c r="AB13" s="159"/>
      <c r="AC13" s="159"/>
      <c r="AD13" s="159"/>
      <c r="AE13" s="159"/>
      <c r="AF13" s="159"/>
      <c r="AG13" s="159"/>
      <c r="AH13" s="159"/>
      <c r="AI13" s="159"/>
      <c r="AJ13" s="159"/>
      <c r="AK13" s="159"/>
      <c r="AL13" s="159" t="str">
        <f>"Measurement Period:  "&amp;$C$11</f>
        <v>Measurement Period:  Apr - Jun 2020</v>
      </c>
      <c r="AM13" s="43"/>
      <c r="AN13" s="43"/>
    </row>
    <row r="14" spans="1:52" ht="13.5" thickBot="1"/>
    <row r="15" spans="1:52" ht="18" customHeight="1" thickBot="1">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c r="A16" s="149" t="s">
        <v>200</v>
      </c>
      <c r="B16" s="150" t="s">
        <v>194</v>
      </c>
      <c r="C16" s="153"/>
      <c r="D16" s="154"/>
      <c r="E16" s="60" t="s">
        <v>141</v>
      </c>
      <c r="F16" s="61"/>
      <c r="G16" s="62"/>
      <c r="H16" s="60" t="s">
        <v>195</v>
      </c>
      <c r="I16" s="61"/>
      <c r="J16" s="62"/>
      <c r="K16" s="60" t="s">
        <v>198</v>
      </c>
      <c r="L16" s="61"/>
      <c r="M16" s="62"/>
      <c r="N16" s="150" t="s">
        <v>194</v>
      </c>
      <c r="O16" s="153"/>
      <c r="P16" s="154"/>
      <c r="Q16" s="60" t="s">
        <v>141</v>
      </c>
      <c r="R16" s="61"/>
      <c r="S16" s="62"/>
      <c r="T16" s="60" t="s">
        <v>195</v>
      </c>
      <c r="U16" s="61"/>
      <c r="V16" s="62"/>
      <c r="W16" s="60" t="s">
        <v>198</v>
      </c>
      <c r="X16" s="61"/>
      <c r="Y16" s="62"/>
      <c r="Z16" s="150" t="s">
        <v>194</v>
      </c>
      <c r="AA16" s="153"/>
      <c r="AB16" s="154"/>
      <c r="AC16" s="60" t="s">
        <v>141</v>
      </c>
      <c r="AD16" s="61"/>
      <c r="AE16" s="62"/>
      <c r="AF16" s="60" t="s">
        <v>195</v>
      </c>
      <c r="AG16" s="61"/>
      <c r="AH16" s="62"/>
      <c r="AI16" s="60" t="s">
        <v>198</v>
      </c>
      <c r="AJ16" s="61"/>
      <c r="AK16" s="62"/>
      <c r="AL16" s="150" t="s">
        <v>207</v>
      </c>
      <c r="AM16" s="153"/>
      <c r="AN16" s="154"/>
    </row>
    <row r="17" spans="1:46" s="34" customFormat="1" ht="13.5" thickBot="1">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50000000000003" customHeight="1">
      <c r="A18" s="72" t="s">
        <v>38</v>
      </c>
      <c r="B18" s="155" t="s">
        <v>347</v>
      </c>
      <c r="C18" s="156" t="s">
        <v>37</v>
      </c>
      <c r="D18" s="157" t="s">
        <v>348</v>
      </c>
      <c r="E18" s="63" t="s">
        <v>347</v>
      </c>
      <c r="F18" s="64" t="s">
        <v>37</v>
      </c>
      <c r="G18" s="65" t="s">
        <v>348</v>
      </c>
      <c r="H18" s="63" t="s">
        <v>347</v>
      </c>
      <c r="I18" s="64" t="s">
        <v>37</v>
      </c>
      <c r="J18" s="65" t="s">
        <v>348</v>
      </c>
      <c r="K18" s="63" t="s">
        <v>347</v>
      </c>
      <c r="L18" s="64" t="s">
        <v>37</v>
      </c>
      <c r="M18" s="65" t="s">
        <v>348</v>
      </c>
      <c r="N18" s="155" t="s">
        <v>347</v>
      </c>
      <c r="O18" s="156" t="s">
        <v>37</v>
      </c>
      <c r="P18" s="157" t="s">
        <v>348</v>
      </c>
      <c r="Q18" s="63" t="s">
        <v>347</v>
      </c>
      <c r="R18" s="64" t="s">
        <v>37</v>
      </c>
      <c r="S18" s="65" t="s">
        <v>348</v>
      </c>
      <c r="T18" s="63" t="s">
        <v>347</v>
      </c>
      <c r="U18" s="64" t="s">
        <v>37</v>
      </c>
      <c r="V18" s="65" t="s">
        <v>348</v>
      </c>
      <c r="W18" s="63" t="s">
        <v>347</v>
      </c>
      <c r="X18" s="64" t="s">
        <v>37</v>
      </c>
      <c r="Y18" s="65" t="s">
        <v>348</v>
      </c>
      <c r="Z18" s="155" t="s">
        <v>347</v>
      </c>
      <c r="AA18" s="156" t="s">
        <v>37</v>
      </c>
      <c r="AB18" s="157" t="s">
        <v>348</v>
      </c>
      <c r="AC18" s="63" t="s">
        <v>347</v>
      </c>
      <c r="AD18" s="64" t="s">
        <v>37</v>
      </c>
      <c r="AE18" s="65" t="s">
        <v>348</v>
      </c>
      <c r="AF18" s="63" t="s">
        <v>347</v>
      </c>
      <c r="AG18" s="64" t="s">
        <v>37</v>
      </c>
      <c r="AH18" s="65" t="s">
        <v>348</v>
      </c>
      <c r="AI18" s="63" t="s">
        <v>347</v>
      </c>
      <c r="AJ18" s="64" t="s">
        <v>37</v>
      </c>
      <c r="AK18" s="65" t="s">
        <v>348</v>
      </c>
      <c r="AL18" s="155" t="s">
        <v>205</v>
      </c>
      <c r="AM18" s="156" t="s">
        <v>37</v>
      </c>
      <c r="AN18" s="157" t="s">
        <v>206</v>
      </c>
    </row>
    <row r="19" spans="1:46" ht="18" customHeight="1">
      <c r="A19" s="73" t="str">
        <f>IF($C$9="Data Not Entered On Set-Up Worksheet","",IF(OR(VLOOKUP($C$9,County_Lookup_MC,2,FALSE)="",VLOOKUP($C$9,County_Lookup_MC,2,FALSE)=0),"",VLOOKUP($C$9,County_Lookup_MC,2,FALSE)))</f>
        <v/>
      </c>
      <c r="B19" s="66"/>
      <c r="C19" s="58"/>
      <c r="D19" s="67" t="str">
        <f>IF($A19="","",IF(C19=0,0,B19/C19))</f>
        <v/>
      </c>
      <c r="E19" s="66"/>
      <c r="F19" s="58"/>
      <c r="G19" s="67" t="str">
        <f>IF($A19="","",IF(F19=0,0,E19/F19))</f>
        <v/>
      </c>
      <c r="H19" s="66"/>
      <c r="I19" s="58"/>
      <c r="J19" s="67" t="str">
        <f>IF($A19="","",IF(I19=0,0,H19/I19))</f>
        <v/>
      </c>
      <c r="K19" s="71" t="str">
        <f>IF($A19="","",SUM(E19,H19))</f>
        <v/>
      </c>
      <c r="L19" s="59" t="str">
        <f>IF($A19="","",SUM(F19,I19))</f>
        <v/>
      </c>
      <c r="M19" s="67" t="str">
        <f>IF($A19="","",IF(L19=0,0,K19/L19))</f>
        <v/>
      </c>
      <c r="N19" s="66"/>
      <c r="O19" s="58"/>
      <c r="P19" s="67" t="str">
        <f>IF($A19="","",IF(O19=0,0,N19/O19))</f>
        <v/>
      </c>
      <c r="Q19" s="66"/>
      <c r="R19" s="58"/>
      <c r="S19" s="67" t="str">
        <f>IF($A19="","",IF(R19=0,0,Q19/R19))</f>
        <v/>
      </c>
      <c r="T19" s="66"/>
      <c r="U19" s="58"/>
      <c r="V19" s="67" t="str">
        <f>IF($A19="","",IF(U19=0,0,T19/U19))</f>
        <v/>
      </c>
      <c r="W19" s="71" t="str">
        <f>IF($A19="","",SUM(Q19,T19))</f>
        <v/>
      </c>
      <c r="X19" s="59" t="str">
        <f>IF($A19="","",SUM(R19,U19))</f>
        <v/>
      </c>
      <c r="Y19" s="67" t="str">
        <f>IF($A19="","",IF(X19=0,0,W19/X19))</f>
        <v/>
      </c>
      <c r="Z19" s="66"/>
      <c r="AA19" s="58"/>
      <c r="AB19" s="67" t="str">
        <f>IF($A19="","",IF(AA19=0,0,Z19/AA19))</f>
        <v/>
      </c>
      <c r="AC19" s="66"/>
      <c r="AD19" s="58"/>
      <c r="AE19" s="67" t="str">
        <f>IF($A19="","",IF(AD19=0,0,AC19/AD19))</f>
        <v/>
      </c>
      <c r="AF19" s="66"/>
      <c r="AG19" s="58"/>
      <c r="AH19" s="67" t="str">
        <f>IF($A19="","",IF(AG19=0,0,AF19/AG19))</f>
        <v/>
      </c>
      <c r="AI19" s="71" t="str">
        <f>IF($A19="","",SUM(AC19,AF19))</f>
        <v/>
      </c>
      <c r="AJ19" s="59" t="str">
        <f>IF($A19="","",SUM(AD19,AG19))</f>
        <v/>
      </c>
      <c r="AK19" s="67" t="str">
        <f>IF($A19="","",IF(AJ19=0,0,AI19/AJ19))</f>
        <v/>
      </c>
      <c r="AL19" s="66"/>
      <c r="AM19" s="58"/>
      <c r="AN19" s="67" t="str">
        <f>IF($A19="","",IF(AM19=0,0,AL19/AM19))</f>
        <v/>
      </c>
    </row>
    <row r="20" spans="1:46" ht="18" customHeight="1">
      <c r="A20" s="74" t="str">
        <f>IF($C$9="Data Not Entered On Set-Up Worksheet","",IF(OR(VLOOKUP($C$9,County_Lookup_MC,3,FALSE)="",VLOOKUP($C$9,County_Lookup_MC,3,FALSE)=0),"",VLOOKUP($C$9,County_Lookup_MC,3,FALSE)))</f>
        <v/>
      </c>
      <c r="B20" s="66"/>
      <c r="C20" s="58"/>
      <c r="D20" s="67" t="str">
        <f t="shared" ref="D20:D44" si="3">IF($A20="","",IF(C20=0,0,B20/C20))</f>
        <v/>
      </c>
      <c r="E20" s="66"/>
      <c r="F20" s="58"/>
      <c r="G20" s="67" t="str">
        <f t="shared" ref="G20:G44" si="4">IF($A20="","",IF(F20=0,0,E20/F20))</f>
        <v/>
      </c>
      <c r="H20" s="66"/>
      <c r="I20" s="58"/>
      <c r="J20" s="67" t="str">
        <f t="shared" ref="J20:J44" si="5">IF($A20="","",IF(I20=0,0,H20/I20))</f>
        <v/>
      </c>
      <c r="K20" s="71" t="str">
        <f t="shared" ref="K20:K44" si="6">IF($A20="","",SUM(E20,H20))</f>
        <v/>
      </c>
      <c r="L20" s="59" t="str">
        <f t="shared" ref="L20:L44" si="7">IF($A20="","",SUM(F20,I20))</f>
        <v/>
      </c>
      <c r="M20" s="67" t="str">
        <f t="shared" ref="M20:M44" si="8">IF($A20="","",IF(L20=0,0,K20/L20))</f>
        <v/>
      </c>
      <c r="N20" s="66"/>
      <c r="O20" s="58"/>
      <c r="P20" s="67" t="str">
        <f t="shared" ref="P20:P44" si="9">IF($A20="","",IF(O20=0,0,N20/O20))</f>
        <v/>
      </c>
      <c r="Q20" s="66"/>
      <c r="R20" s="58"/>
      <c r="S20" s="67" t="str">
        <f t="shared" ref="S20:S44" si="10">IF($A20="","",IF(R20=0,0,Q20/R20))</f>
        <v/>
      </c>
      <c r="T20" s="66"/>
      <c r="U20" s="58"/>
      <c r="V20" s="67" t="str">
        <f t="shared" ref="V20:V44" si="11">IF($A20="","",IF(U20=0,0,T20/U20))</f>
        <v/>
      </c>
      <c r="W20" s="71" t="str">
        <f t="shared" ref="W20:W44" si="12">IF($A20="","",SUM(Q20,T20))</f>
        <v/>
      </c>
      <c r="X20" s="59" t="str">
        <f t="shared" ref="X20:X44" si="13">IF($A20="","",SUM(R20,U20))</f>
        <v/>
      </c>
      <c r="Y20" s="67" t="str">
        <f t="shared" ref="Y20:Y44" si="14">IF($A20="","",IF(X20=0,0,W20/X20))</f>
        <v/>
      </c>
      <c r="Z20" s="66"/>
      <c r="AA20" s="58"/>
      <c r="AB20" s="67" t="str">
        <f t="shared" ref="AB20:AB44" si="15">IF($A20="","",IF(AA20=0,0,Z20/AA20))</f>
        <v/>
      </c>
      <c r="AC20" s="66"/>
      <c r="AD20" s="58"/>
      <c r="AE20" s="67" t="str">
        <f t="shared" ref="AE20:AE44" si="16">IF($A20="","",IF(AD20=0,0,AC20/AD20))</f>
        <v/>
      </c>
      <c r="AF20" s="66"/>
      <c r="AG20" s="58"/>
      <c r="AH20" s="67" t="str">
        <f t="shared" ref="AH20:AH44" si="17">IF($A20="","",IF(AG20=0,0,AF20/AG20))</f>
        <v/>
      </c>
      <c r="AI20" s="71" t="str">
        <f t="shared" ref="AI20:AI44" si="18">IF($A20="","",SUM(AC20,AF20))</f>
        <v/>
      </c>
      <c r="AJ20" s="59" t="str">
        <f t="shared" ref="AJ20:AJ44" si="19">IF($A20="","",SUM(AD20,AG20))</f>
        <v/>
      </c>
      <c r="AK20" s="67" t="str">
        <f t="shared" ref="AK20:AK44" si="20">IF($A20="","",IF(AJ20=0,0,AI20/AJ20))</f>
        <v/>
      </c>
      <c r="AL20" s="66"/>
      <c r="AM20" s="58"/>
      <c r="AN20" s="67" t="str">
        <f t="shared" ref="AN20:AN44" si="21">IF($A20="","",IF(AM20=0,0,AL20/AM20))</f>
        <v/>
      </c>
    </row>
    <row r="21" spans="1:46" ht="18" customHeight="1">
      <c r="A21" s="74" t="str">
        <f>IF($C$9="Data Not Entered On Set-Up Worksheet","",IF(OR(VLOOKUP($C$9,County_Lookup_MC,4,FALSE)="",VLOOKUP($C$9,County_Lookup_MC,4,FALSE)=0),"",VLOOKUP($C$9,County_Lookup_MC,4,FALSE)))</f>
        <v/>
      </c>
      <c r="B21" s="66"/>
      <c r="C21" s="58"/>
      <c r="D21" s="67" t="str">
        <f t="shared" si="3"/>
        <v/>
      </c>
      <c r="E21" s="66"/>
      <c r="F21" s="58"/>
      <c r="G21" s="67" t="str">
        <f t="shared" si="4"/>
        <v/>
      </c>
      <c r="H21" s="66"/>
      <c r="I21" s="58"/>
      <c r="J21" s="67" t="str">
        <f t="shared" si="5"/>
        <v/>
      </c>
      <c r="K21" s="71" t="str">
        <f t="shared" si="6"/>
        <v/>
      </c>
      <c r="L21" s="59" t="str">
        <f t="shared" si="7"/>
        <v/>
      </c>
      <c r="M21" s="67" t="str">
        <f t="shared" si="8"/>
        <v/>
      </c>
      <c r="N21" s="66"/>
      <c r="O21" s="58"/>
      <c r="P21" s="67" t="str">
        <f t="shared" si="9"/>
        <v/>
      </c>
      <c r="Q21" s="66"/>
      <c r="R21" s="58"/>
      <c r="S21" s="67" t="str">
        <f t="shared" si="10"/>
        <v/>
      </c>
      <c r="T21" s="66"/>
      <c r="U21" s="58"/>
      <c r="V21" s="67" t="str">
        <f t="shared" si="11"/>
        <v/>
      </c>
      <c r="W21" s="71" t="str">
        <f t="shared" si="12"/>
        <v/>
      </c>
      <c r="X21" s="59" t="str">
        <f t="shared" si="13"/>
        <v/>
      </c>
      <c r="Y21" s="67" t="str">
        <f t="shared" si="14"/>
        <v/>
      </c>
      <c r="Z21" s="66"/>
      <c r="AA21" s="58"/>
      <c r="AB21" s="67" t="str">
        <f t="shared" si="15"/>
        <v/>
      </c>
      <c r="AC21" s="66"/>
      <c r="AD21" s="58"/>
      <c r="AE21" s="67" t="str">
        <f t="shared" si="16"/>
        <v/>
      </c>
      <c r="AF21" s="66"/>
      <c r="AG21" s="58"/>
      <c r="AH21" s="67" t="str">
        <f t="shared" si="17"/>
        <v/>
      </c>
      <c r="AI21" s="71" t="str">
        <f t="shared" si="18"/>
        <v/>
      </c>
      <c r="AJ21" s="59" t="str">
        <f t="shared" si="19"/>
        <v/>
      </c>
      <c r="AK21" s="67" t="str">
        <f t="shared" si="20"/>
        <v/>
      </c>
      <c r="AL21" s="66"/>
      <c r="AM21" s="58"/>
      <c r="AN21" s="67" t="str">
        <f t="shared" si="21"/>
        <v/>
      </c>
    </row>
    <row r="22" spans="1:46" ht="18" customHeight="1">
      <c r="A22" s="74" t="str">
        <f>IF($C$9="Data Not Entered On Set-Up Worksheet","",IF(OR(VLOOKUP($C$9,County_Lookup_MC,5,FALSE)="",VLOOKUP($C$9,County_Lookup_MC,5,FALSE)=0),"",VLOOKUP($C$9,County_Lookup_MC,5,FALSE)))</f>
        <v/>
      </c>
      <c r="B22" s="66"/>
      <c r="C22" s="58"/>
      <c r="D22" s="67" t="str">
        <f t="shared" si="3"/>
        <v/>
      </c>
      <c r="E22" s="66"/>
      <c r="F22" s="58"/>
      <c r="G22" s="67" t="str">
        <f t="shared" si="4"/>
        <v/>
      </c>
      <c r="H22" s="66"/>
      <c r="I22" s="58"/>
      <c r="J22" s="67" t="str">
        <f t="shared" si="5"/>
        <v/>
      </c>
      <c r="K22" s="71" t="str">
        <f t="shared" si="6"/>
        <v/>
      </c>
      <c r="L22" s="59" t="str">
        <f t="shared" si="7"/>
        <v/>
      </c>
      <c r="M22" s="67" t="str">
        <f t="shared" si="8"/>
        <v/>
      </c>
      <c r="N22" s="66"/>
      <c r="O22" s="58"/>
      <c r="P22" s="67" t="str">
        <f t="shared" si="9"/>
        <v/>
      </c>
      <c r="Q22" s="66"/>
      <c r="R22" s="58"/>
      <c r="S22" s="67" t="str">
        <f t="shared" si="10"/>
        <v/>
      </c>
      <c r="T22" s="66"/>
      <c r="U22" s="58"/>
      <c r="V22" s="67" t="str">
        <f t="shared" si="11"/>
        <v/>
      </c>
      <c r="W22" s="71" t="str">
        <f t="shared" si="12"/>
        <v/>
      </c>
      <c r="X22" s="59" t="str">
        <f t="shared" si="13"/>
        <v/>
      </c>
      <c r="Y22" s="67" t="str">
        <f t="shared" si="14"/>
        <v/>
      </c>
      <c r="Z22" s="66"/>
      <c r="AA22" s="58"/>
      <c r="AB22" s="67" t="str">
        <f t="shared" si="15"/>
        <v/>
      </c>
      <c r="AC22" s="66"/>
      <c r="AD22" s="58"/>
      <c r="AE22" s="67" t="str">
        <f t="shared" si="16"/>
        <v/>
      </c>
      <c r="AF22" s="66"/>
      <c r="AG22" s="58"/>
      <c r="AH22" s="67" t="str">
        <f t="shared" si="17"/>
        <v/>
      </c>
      <c r="AI22" s="71" t="str">
        <f t="shared" si="18"/>
        <v/>
      </c>
      <c r="AJ22" s="59" t="str">
        <f t="shared" si="19"/>
        <v/>
      </c>
      <c r="AK22" s="67" t="str">
        <f t="shared" si="20"/>
        <v/>
      </c>
      <c r="AL22" s="66"/>
      <c r="AM22" s="58"/>
      <c r="AN22" s="67" t="str">
        <f t="shared" si="21"/>
        <v/>
      </c>
    </row>
    <row r="23" spans="1:46" ht="18" customHeight="1">
      <c r="A23" s="74" t="str">
        <f>IF($C$9="Data Not Entered On Set-Up Worksheet","",IF(OR(VLOOKUP($C$9,County_Lookup_MC,6,FALSE)="",VLOOKUP($C$9,County_Lookup_MC,6,FALSE)=0),"",VLOOKUP($C$9,County_Lookup_MC,6,FALSE)))</f>
        <v/>
      </c>
      <c r="B23" s="66"/>
      <c r="C23" s="58"/>
      <c r="D23" s="67" t="str">
        <f t="shared" si="3"/>
        <v/>
      </c>
      <c r="E23" s="66"/>
      <c r="F23" s="58"/>
      <c r="G23" s="67" t="str">
        <f t="shared" si="4"/>
        <v/>
      </c>
      <c r="H23" s="66"/>
      <c r="I23" s="58"/>
      <c r="J23" s="67" t="str">
        <f t="shared" si="5"/>
        <v/>
      </c>
      <c r="K23" s="71" t="str">
        <f t="shared" si="6"/>
        <v/>
      </c>
      <c r="L23" s="59" t="str">
        <f t="shared" si="7"/>
        <v/>
      </c>
      <c r="M23" s="67" t="str">
        <f t="shared" si="8"/>
        <v/>
      </c>
      <c r="N23" s="66"/>
      <c r="O23" s="58"/>
      <c r="P23" s="67" t="str">
        <f t="shared" si="9"/>
        <v/>
      </c>
      <c r="Q23" s="66"/>
      <c r="R23" s="58"/>
      <c r="S23" s="67" t="str">
        <f t="shared" si="10"/>
        <v/>
      </c>
      <c r="T23" s="66"/>
      <c r="U23" s="58"/>
      <c r="V23" s="67" t="str">
        <f t="shared" si="11"/>
        <v/>
      </c>
      <c r="W23" s="71" t="str">
        <f t="shared" si="12"/>
        <v/>
      </c>
      <c r="X23" s="59" t="str">
        <f t="shared" si="13"/>
        <v/>
      </c>
      <c r="Y23" s="67" t="str">
        <f t="shared" si="14"/>
        <v/>
      </c>
      <c r="Z23" s="66"/>
      <c r="AA23" s="58"/>
      <c r="AB23" s="67" t="str">
        <f t="shared" si="15"/>
        <v/>
      </c>
      <c r="AC23" s="66"/>
      <c r="AD23" s="58"/>
      <c r="AE23" s="67" t="str">
        <f t="shared" si="16"/>
        <v/>
      </c>
      <c r="AF23" s="66"/>
      <c r="AG23" s="58"/>
      <c r="AH23" s="67" t="str">
        <f t="shared" si="17"/>
        <v/>
      </c>
      <c r="AI23" s="71" t="str">
        <f t="shared" si="18"/>
        <v/>
      </c>
      <c r="AJ23" s="59" t="str">
        <f t="shared" si="19"/>
        <v/>
      </c>
      <c r="AK23" s="67" t="str">
        <f t="shared" si="20"/>
        <v/>
      </c>
      <c r="AL23" s="66"/>
      <c r="AM23" s="58"/>
      <c r="AN23" s="67" t="str">
        <f t="shared" si="21"/>
        <v/>
      </c>
    </row>
    <row r="24" spans="1:46" ht="18" customHeight="1">
      <c r="A24" s="74" t="str">
        <f>IF($C$9="Data Not Entered On Set-Up Worksheet","",IF(OR(VLOOKUP($C$9,County_Lookup_MC,7,FALSE)="",VLOOKUP($C$9,County_Lookup_MC,7,FALSE)=0),"",VLOOKUP($C$9,County_Lookup_MC,7,FALSE)))</f>
        <v/>
      </c>
      <c r="B24" s="66"/>
      <c r="C24" s="58"/>
      <c r="D24" s="67" t="str">
        <f t="shared" si="3"/>
        <v/>
      </c>
      <c r="E24" s="66"/>
      <c r="F24" s="58"/>
      <c r="G24" s="67" t="str">
        <f t="shared" si="4"/>
        <v/>
      </c>
      <c r="H24" s="66"/>
      <c r="I24" s="58"/>
      <c r="J24" s="67" t="str">
        <f t="shared" si="5"/>
        <v/>
      </c>
      <c r="K24" s="71" t="str">
        <f t="shared" si="6"/>
        <v/>
      </c>
      <c r="L24" s="59" t="str">
        <f t="shared" si="7"/>
        <v/>
      </c>
      <c r="M24" s="67" t="str">
        <f t="shared" si="8"/>
        <v/>
      </c>
      <c r="N24" s="66"/>
      <c r="O24" s="58"/>
      <c r="P24" s="67" t="str">
        <f t="shared" si="9"/>
        <v/>
      </c>
      <c r="Q24" s="66"/>
      <c r="R24" s="58"/>
      <c r="S24" s="67" t="str">
        <f t="shared" si="10"/>
        <v/>
      </c>
      <c r="T24" s="66"/>
      <c r="U24" s="58"/>
      <c r="V24" s="67" t="str">
        <f t="shared" si="11"/>
        <v/>
      </c>
      <c r="W24" s="71" t="str">
        <f t="shared" si="12"/>
        <v/>
      </c>
      <c r="X24" s="59" t="str">
        <f t="shared" si="13"/>
        <v/>
      </c>
      <c r="Y24" s="67" t="str">
        <f t="shared" si="14"/>
        <v/>
      </c>
      <c r="Z24" s="66"/>
      <c r="AA24" s="58"/>
      <c r="AB24" s="67" t="str">
        <f t="shared" si="15"/>
        <v/>
      </c>
      <c r="AC24" s="66"/>
      <c r="AD24" s="58"/>
      <c r="AE24" s="67" t="str">
        <f t="shared" si="16"/>
        <v/>
      </c>
      <c r="AF24" s="66"/>
      <c r="AG24" s="58"/>
      <c r="AH24" s="67" t="str">
        <f t="shared" si="17"/>
        <v/>
      </c>
      <c r="AI24" s="71" t="str">
        <f t="shared" si="18"/>
        <v/>
      </c>
      <c r="AJ24" s="59" t="str">
        <f t="shared" si="19"/>
        <v/>
      </c>
      <c r="AK24" s="67" t="str">
        <f t="shared" si="20"/>
        <v/>
      </c>
      <c r="AL24" s="66"/>
      <c r="AM24" s="58"/>
      <c r="AN24" s="67" t="str">
        <f t="shared" si="21"/>
        <v/>
      </c>
    </row>
    <row r="25" spans="1:46" ht="18" customHeight="1">
      <c r="A25" s="73" t="str">
        <f>IF($C$9="Data Not Entered On Set-Up Worksheet","",IF(OR(VLOOKUP($C$9,County_Lookup_MC,8,FALSE)="",VLOOKUP($C$9,County_Lookup_MC,8,FALSE)=0),"",VLOOKUP($C$9,County_Lookup_MC,8,FALSE)))</f>
        <v/>
      </c>
      <c r="B25" s="66"/>
      <c r="C25" s="58"/>
      <c r="D25" s="67" t="str">
        <f t="shared" si="3"/>
        <v/>
      </c>
      <c r="E25" s="66"/>
      <c r="F25" s="58"/>
      <c r="G25" s="67" t="str">
        <f t="shared" si="4"/>
        <v/>
      </c>
      <c r="H25" s="66"/>
      <c r="I25" s="58"/>
      <c r="J25" s="67" t="str">
        <f t="shared" si="5"/>
        <v/>
      </c>
      <c r="K25" s="71" t="str">
        <f t="shared" si="6"/>
        <v/>
      </c>
      <c r="L25" s="59" t="str">
        <f t="shared" si="7"/>
        <v/>
      </c>
      <c r="M25" s="67" t="str">
        <f t="shared" si="8"/>
        <v/>
      </c>
      <c r="N25" s="66"/>
      <c r="O25" s="58"/>
      <c r="P25" s="67" t="str">
        <f t="shared" si="9"/>
        <v/>
      </c>
      <c r="Q25" s="66"/>
      <c r="R25" s="58"/>
      <c r="S25" s="67" t="str">
        <f t="shared" si="10"/>
        <v/>
      </c>
      <c r="T25" s="66"/>
      <c r="U25" s="58"/>
      <c r="V25" s="67" t="str">
        <f t="shared" si="11"/>
        <v/>
      </c>
      <c r="W25" s="71" t="str">
        <f t="shared" si="12"/>
        <v/>
      </c>
      <c r="X25" s="59" t="str">
        <f t="shared" si="13"/>
        <v/>
      </c>
      <c r="Y25" s="67" t="str">
        <f t="shared" si="14"/>
        <v/>
      </c>
      <c r="Z25" s="66"/>
      <c r="AA25" s="58"/>
      <c r="AB25" s="67" t="str">
        <f t="shared" si="15"/>
        <v/>
      </c>
      <c r="AC25" s="66"/>
      <c r="AD25" s="58"/>
      <c r="AE25" s="67" t="str">
        <f t="shared" si="16"/>
        <v/>
      </c>
      <c r="AF25" s="66"/>
      <c r="AG25" s="58"/>
      <c r="AH25" s="67" t="str">
        <f t="shared" si="17"/>
        <v/>
      </c>
      <c r="AI25" s="71" t="str">
        <f t="shared" si="18"/>
        <v/>
      </c>
      <c r="AJ25" s="59" t="str">
        <f t="shared" si="19"/>
        <v/>
      </c>
      <c r="AK25" s="67" t="str">
        <f t="shared" si="20"/>
        <v/>
      </c>
      <c r="AL25" s="66"/>
      <c r="AM25" s="58"/>
      <c r="AN25" s="67" t="str">
        <f t="shared" si="21"/>
        <v/>
      </c>
    </row>
    <row r="26" spans="1:46" ht="18" customHeight="1">
      <c r="A26" s="74" t="str">
        <f>IF($C$9="Data Not Entered On Set-Up Worksheet","",IF(OR(VLOOKUP($C$9,County_Lookup_MC,9,FALSE)="",VLOOKUP($C$9,County_Lookup_MC,9,FALSE)=0),"",VLOOKUP($C$9,County_Lookup_MC,9,FALSE)))</f>
        <v/>
      </c>
      <c r="B26" s="66"/>
      <c r="C26" s="58"/>
      <c r="D26" s="67" t="str">
        <f t="shared" si="3"/>
        <v/>
      </c>
      <c r="E26" s="66"/>
      <c r="F26" s="58"/>
      <c r="G26" s="67" t="str">
        <f t="shared" si="4"/>
        <v/>
      </c>
      <c r="H26" s="66"/>
      <c r="I26" s="58"/>
      <c r="J26" s="67" t="str">
        <f t="shared" si="5"/>
        <v/>
      </c>
      <c r="K26" s="71" t="str">
        <f t="shared" si="6"/>
        <v/>
      </c>
      <c r="L26" s="59" t="str">
        <f t="shared" si="7"/>
        <v/>
      </c>
      <c r="M26" s="67" t="str">
        <f t="shared" si="8"/>
        <v/>
      </c>
      <c r="N26" s="66"/>
      <c r="O26" s="58"/>
      <c r="P26" s="67" t="str">
        <f t="shared" si="9"/>
        <v/>
      </c>
      <c r="Q26" s="66"/>
      <c r="R26" s="58"/>
      <c r="S26" s="67" t="str">
        <f t="shared" si="10"/>
        <v/>
      </c>
      <c r="T26" s="66"/>
      <c r="U26" s="58"/>
      <c r="V26" s="67" t="str">
        <f t="shared" si="11"/>
        <v/>
      </c>
      <c r="W26" s="71" t="str">
        <f t="shared" si="12"/>
        <v/>
      </c>
      <c r="X26" s="59" t="str">
        <f t="shared" si="13"/>
        <v/>
      </c>
      <c r="Y26" s="67" t="str">
        <f t="shared" si="14"/>
        <v/>
      </c>
      <c r="Z26" s="66"/>
      <c r="AA26" s="58"/>
      <c r="AB26" s="67" t="str">
        <f t="shared" si="15"/>
        <v/>
      </c>
      <c r="AC26" s="66"/>
      <c r="AD26" s="58"/>
      <c r="AE26" s="67" t="str">
        <f t="shared" si="16"/>
        <v/>
      </c>
      <c r="AF26" s="66"/>
      <c r="AG26" s="58"/>
      <c r="AH26" s="67" t="str">
        <f t="shared" si="17"/>
        <v/>
      </c>
      <c r="AI26" s="71" t="str">
        <f t="shared" si="18"/>
        <v/>
      </c>
      <c r="AJ26" s="59" t="str">
        <f t="shared" si="19"/>
        <v/>
      </c>
      <c r="AK26" s="67" t="str">
        <f t="shared" si="20"/>
        <v/>
      </c>
      <c r="AL26" s="66"/>
      <c r="AM26" s="58"/>
      <c r="AN26" s="67" t="str">
        <f t="shared" si="21"/>
        <v/>
      </c>
    </row>
    <row r="27" spans="1:46" ht="18" customHeight="1">
      <c r="A27" s="74" t="str">
        <f>IF($C$9="Data Not Entered On Set-Up Worksheet","",IF(OR(VLOOKUP($C$9,County_Lookup_MC,10,FALSE)="",VLOOKUP($C$9,County_Lookup_MC,10,FALSE)=0),"",VLOOKUP($C$9,County_Lookup_MC,10,FALSE)))</f>
        <v/>
      </c>
      <c r="B27" s="66"/>
      <c r="C27" s="58"/>
      <c r="D27" s="67" t="str">
        <f t="shared" si="3"/>
        <v/>
      </c>
      <c r="E27" s="66"/>
      <c r="F27" s="58"/>
      <c r="G27" s="67" t="str">
        <f t="shared" si="4"/>
        <v/>
      </c>
      <c r="H27" s="66"/>
      <c r="I27" s="58"/>
      <c r="J27" s="67" t="str">
        <f t="shared" si="5"/>
        <v/>
      </c>
      <c r="K27" s="71" t="str">
        <f t="shared" si="6"/>
        <v/>
      </c>
      <c r="L27" s="59" t="str">
        <f t="shared" si="7"/>
        <v/>
      </c>
      <c r="M27" s="67" t="str">
        <f t="shared" si="8"/>
        <v/>
      </c>
      <c r="N27" s="66"/>
      <c r="O27" s="58"/>
      <c r="P27" s="67" t="str">
        <f t="shared" si="9"/>
        <v/>
      </c>
      <c r="Q27" s="66"/>
      <c r="R27" s="58"/>
      <c r="S27" s="67" t="str">
        <f t="shared" si="10"/>
        <v/>
      </c>
      <c r="T27" s="66"/>
      <c r="U27" s="58"/>
      <c r="V27" s="67" t="str">
        <f t="shared" si="11"/>
        <v/>
      </c>
      <c r="W27" s="71" t="str">
        <f t="shared" si="12"/>
        <v/>
      </c>
      <c r="X27" s="59" t="str">
        <f t="shared" si="13"/>
        <v/>
      </c>
      <c r="Y27" s="67" t="str">
        <f t="shared" si="14"/>
        <v/>
      </c>
      <c r="Z27" s="66"/>
      <c r="AA27" s="58"/>
      <c r="AB27" s="67" t="str">
        <f t="shared" si="15"/>
        <v/>
      </c>
      <c r="AC27" s="66"/>
      <c r="AD27" s="58"/>
      <c r="AE27" s="67" t="str">
        <f t="shared" si="16"/>
        <v/>
      </c>
      <c r="AF27" s="66"/>
      <c r="AG27" s="58"/>
      <c r="AH27" s="67" t="str">
        <f t="shared" si="17"/>
        <v/>
      </c>
      <c r="AI27" s="71" t="str">
        <f t="shared" si="18"/>
        <v/>
      </c>
      <c r="AJ27" s="59" t="str">
        <f t="shared" si="19"/>
        <v/>
      </c>
      <c r="AK27" s="67" t="str">
        <f t="shared" si="20"/>
        <v/>
      </c>
      <c r="AL27" s="66"/>
      <c r="AM27" s="58"/>
      <c r="AN27" s="67" t="str">
        <f t="shared" si="21"/>
        <v/>
      </c>
    </row>
    <row r="28" spans="1:46" ht="18" customHeight="1">
      <c r="A28" s="74" t="str">
        <f>IF($C$9="Data Not Entered On Set-Up Worksheet","",IF(OR(VLOOKUP($C$9,County_Lookup_MC,11,FALSE)="",VLOOKUP($C$9,County_Lookup_MC,11,FALSE)=0),"",VLOOKUP($C$9,County_Lookup_MC,11,FALSE)))</f>
        <v/>
      </c>
      <c r="B28" s="66"/>
      <c r="C28" s="58"/>
      <c r="D28" s="67" t="str">
        <f t="shared" si="3"/>
        <v/>
      </c>
      <c r="E28" s="66"/>
      <c r="F28" s="58"/>
      <c r="G28" s="67" t="str">
        <f t="shared" si="4"/>
        <v/>
      </c>
      <c r="H28" s="66"/>
      <c r="I28" s="58"/>
      <c r="J28" s="67" t="str">
        <f t="shared" si="5"/>
        <v/>
      </c>
      <c r="K28" s="71" t="str">
        <f t="shared" si="6"/>
        <v/>
      </c>
      <c r="L28" s="59" t="str">
        <f t="shared" si="7"/>
        <v/>
      </c>
      <c r="M28" s="67" t="str">
        <f t="shared" si="8"/>
        <v/>
      </c>
      <c r="N28" s="66"/>
      <c r="O28" s="58"/>
      <c r="P28" s="67" t="str">
        <f t="shared" si="9"/>
        <v/>
      </c>
      <c r="Q28" s="66"/>
      <c r="R28" s="58"/>
      <c r="S28" s="67" t="str">
        <f t="shared" si="10"/>
        <v/>
      </c>
      <c r="T28" s="66"/>
      <c r="U28" s="58"/>
      <c r="V28" s="67" t="str">
        <f t="shared" si="11"/>
        <v/>
      </c>
      <c r="W28" s="71" t="str">
        <f t="shared" si="12"/>
        <v/>
      </c>
      <c r="X28" s="59" t="str">
        <f t="shared" si="13"/>
        <v/>
      </c>
      <c r="Y28" s="67" t="str">
        <f t="shared" si="14"/>
        <v/>
      </c>
      <c r="Z28" s="66"/>
      <c r="AA28" s="58"/>
      <c r="AB28" s="67" t="str">
        <f t="shared" si="15"/>
        <v/>
      </c>
      <c r="AC28" s="66"/>
      <c r="AD28" s="58"/>
      <c r="AE28" s="67" t="str">
        <f t="shared" si="16"/>
        <v/>
      </c>
      <c r="AF28" s="66"/>
      <c r="AG28" s="58"/>
      <c r="AH28" s="67" t="str">
        <f t="shared" si="17"/>
        <v/>
      </c>
      <c r="AI28" s="71" t="str">
        <f t="shared" si="18"/>
        <v/>
      </c>
      <c r="AJ28" s="59" t="str">
        <f t="shared" si="19"/>
        <v/>
      </c>
      <c r="AK28" s="67" t="str">
        <f t="shared" si="20"/>
        <v/>
      </c>
      <c r="AL28" s="66"/>
      <c r="AM28" s="58"/>
      <c r="AN28" s="67" t="str">
        <f t="shared" si="21"/>
        <v/>
      </c>
    </row>
    <row r="29" spans="1:46" ht="18" customHeight="1">
      <c r="A29" s="74" t="str">
        <f>IF($C$9="Data Not Entered On Set-Up Worksheet","",IF(OR(VLOOKUP($C$9,County_Lookup_MC,12,FALSE)="",VLOOKUP($C$9,County_Lookup_MC,12,FALSE)=0),"",VLOOKUP($C$9,County_Lookup_MC,12,FALSE)))</f>
        <v/>
      </c>
      <c r="B29" s="66"/>
      <c r="C29" s="58"/>
      <c r="D29" s="67" t="str">
        <f t="shared" si="3"/>
        <v/>
      </c>
      <c r="E29" s="66"/>
      <c r="F29" s="58"/>
      <c r="G29" s="67" t="str">
        <f t="shared" si="4"/>
        <v/>
      </c>
      <c r="H29" s="66"/>
      <c r="I29" s="58"/>
      <c r="J29" s="67" t="str">
        <f t="shared" si="5"/>
        <v/>
      </c>
      <c r="K29" s="71" t="str">
        <f t="shared" si="6"/>
        <v/>
      </c>
      <c r="L29" s="59" t="str">
        <f t="shared" si="7"/>
        <v/>
      </c>
      <c r="M29" s="67" t="str">
        <f t="shared" si="8"/>
        <v/>
      </c>
      <c r="N29" s="66"/>
      <c r="O29" s="58"/>
      <c r="P29" s="67" t="str">
        <f t="shared" si="9"/>
        <v/>
      </c>
      <c r="Q29" s="66"/>
      <c r="R29" s="58"/>
      <c r="S29" s="67" t="str">
        <f t="shared" si="10"/>
        <v/>
      </c>
      <c r="T29" s="66"/>
      <c r="U29" s="58"/>
      <c r="V29" s="67" t="str">
        <f t="shared" si="11"/>
        <v/>
      </c>
      <c r="W29" s="71" t="str">
        <f t="shared" si="12"/>
        <v/>
      </c>
      <c r="X29" s="59" t="str">
        <f t="shared" si="13"/>
        <v/>
      </c>
      <c r="Y29" s="67" t="str">
        <f t="shared" si="14"/>
        <v/>
      </c>
      <c r="Z29" s="66"/>
      <c r="AA29" s="58"/>
      <c r="AB29" s="67" t="str">
        <f t="shared" si="15"/>
        <v/>
      </c>
      <c r="AC29" s="66"/>
      <c r="AD29" s="58"/>
      <c r="AE29" s="67" t="str">
        <f t="shared" si="16"/>
        <v/>
      </c>
      <c r="AF29" s="66"/>
      <c r="AG29" s="58"/>
      <c r="AH29" s="67" t="str">
        <f t="shared" si="17"/>
        <v/>
      </c>
      <c r="AI29" s="71" t="str">
        <f t="shared" si="18"/>
        <v/>
      </c>
      <c r="AJ29" s="59" t="str">
        <f t="shared" si="19"/>
        <v/>
      </c>
      <c r="AK29" s="67" t="str">
        <f t="shared" si="20"/>
        <v/>
      </c>
      <c r="AL29" s="66"/>
      <c r="AM29" s="58"/>
      <c r="AN29" s="67" t="str">
        <f t="shared" si="21"/>
        <v/>
      </c>
    </row>
    <row r="30" spans="1:46" ht="18" customHeight="1">
      <c r="A30" s="74" t="str">
        <f>IF($C$9="Data Not Entered On Set-Up Worksheet","",IF(OR(VLOOKUP($C$9,County_Lookup_MC,13,FALSE)="",VLOOKUP($C$9,County_Lookup_MC,13,FALSE)=0),"",VLOOKUP($C$9,County_Lookup_MC,13,FALSE)))</f>
        <v/>
      </c>
      <c r="B30" s="66"/>
      <c r="C30" s="58"/>
      <c r="D30" s="67" t="str">
        <f t="shared" si="3"/>
        <v/>
      </c>
      <c r="E30" s="66"/>
      <c r="F30" s="58"/>
      <c r="G30" s="67" t="str">
        <f t="shared" si="4"/>
        <v/>
      </c>
      <c r="H30" s="66"/>
      <c r="I30" s="58"/>
      <c r="J30" s="67" t="str">
        <f t="shared" si="5"/>
        <v/>
      </c>
      <c r="K30" s="71" t="str">
        <f t="shared" si="6"/>
        <v/>
      </c>
      <c r="L30" s="59" t="str">
        <f t="shared" si="7"/>
        <v/>
      </c>
      <c r="M30" s="67" t="str">
        <f t="shared" si="8"/>
        <v/>
      </c>
      <c r="N30" s="66"/>
      <c r="O30" s="58"/>
      <c r="P30" s="67" t="str">
        <f t="shared" si="9"/>
        <v/>
      </c>
      <c r="Q30" s="66"/>
      <c r="R30" s="58"/>
      <c r="S30" s="67" t="str">
        <f t="shared" si="10"/>
        <v/>
      </c>
      <c r="T30" s="66"/>
      <c r="U30" s="58"/>
      <c r="V30" s="67" t="str">
        <f t="shared" si="11"/>
        <v/>
      </c>
      <c r="W30" s="71" t="str">
        <f t="shared" si="12"/>
        <v/>
      </c>
      <c r="X30" s="59" t="str">
        <f t="shared" si="13"/>
        <v/>
      </c>
      <c r="Y30" s="67" t="str">
        <f t="shared" si="14"/>
        <v/>
      </c>
      <c r="Z30" s="66"/>
      <c r="AA30" s="58"/>
      <c r="AB30" s="67" t="str">
        <f t="shared" si="15"/>
        <v/>
      </c>
      <c r="AC30" s="66"/>
      <c r="AD30" s="58"/>
      <c r="AE30" s="67" t="str">
        <f t="shared" si="16"/>
        <v/>
      </c>
      <c r="AF30" s="66"/>
      <c r="AG30" s="58"/>
      <c r="AH30" s="67" t="str">
        <f t="shared" si="17"/>
        <v/>
      </c>
      <c r="AI30" s="71" t="str">
        <f t="shared" si="18"/>
        <v/>
      </c>
      <c r="AJ30" s="59" t="str">
        <f t="shared" si="19"/>
        <v/>
      </c>
      <c r="AK30" s="67" t="str">
        <f t="shared" si="20"/>
        <v/>
      </c>
      <c r="AL30" s="66"/>
      <c r="AM30" s="58"/>
      <c r="AN30" s="67" t="str">
        <f t="shared" si="21"/>
        <v/>
      </c>
    </row>
    <row r="31" spans="1:46" ht="18" customHeight="1">
      <c r="A31" s="74" t="str">
        <f>IF($C$9="Data Not Entered On Set-Up Worksheet","",IF(OR(VLOOKUP($C$9,County_Lookup_MC,14,FALSE)="",VLOOKUP($C$9,County_Lookup_MC,14,FALSE)=0),"",VLOOKUP($C$9,County_Lookup_MC,14,FALSE)))</f>
        <v/>
      </c>
      <c r="B31" s="66"/>
      <c r="C31" s="58"/>
      <c r="D31" s="67" t="str">
        <f t="shared" si="3"/>
        <v/>
      </c>
      <c r="E31" s="66"/>
      <c r="F31" s="58"/>
      <c r="G31" s="67" t="str">
        <f t="shared" si="4"/>
        <v/>
      </c>
      <c r="H31" s="66"/>
      <c r="I31" s="58"/>
      <c r="J31" s="67" t="str">
        <f t="shared" si="5"/>
        <v/>
      </c>
      <c r="K31" s="71" t="str">
        <f t="shared" si="6"/>
        <v/>
      </c>
      <c r="L31" s="59" t="str">
        <f t="shared" si="7"/>
        <v/>
      </c>
      <c r="M31" s="67" t="str">
        <f t="shared" si="8"/>
        <v/>
      </c>
      <c r="N31" s="66"/>
      <c r="O31" s="58"/>
      <c r="P31" s="67" t="str">
        <f t="shared" si="9"/>
        <v/>
      </c>
      <c r="Q31" s="66"/>
      <c r="R31" s="58"/>
      <c r="S31" s="67" t="str">
        <f t="shared" si="10"/>
        <v/>
      </c>
      <c r="T31" s="66"/>
      <c r="U31" s="58"/>
      <c r="V31" s="67" t="str">
        <f t="shared" si="11"/>
        <v/>
      </c>
      <c r="W31" s="71" t="str">
        <f t="shared" si="12"/>
        <v/>
      </c>
      <c r="X31" s="59" t="str">
        <f t="shared" si="13"/>
        <v/>
      </c>
      <c r="Y31" s="67" t="str">
        <f t="shared" si="14"/>
        <v/>
      </c>
      <c r="Z31" s="66"/>
      <c r="AA31" s="58"/>
      <c r="AB31" s="67" t="str">
        <f t="shared" si="15"/>
        <v/>
      </c>
      <c r="AC31" s="66"/>
      <c r="AD31" s="58"/>
      <c r="AE31" s="67" t="str">
        <f t="shared" si="16"/>
        <v/>
      </c>
      <c r="AF31" s="66"/>
      <c r="AG31" s="58"/>
      <c r="AH31" s="67" t="str">
        <f t="shared" si="17"/>
        <v/>
      </c>
      <c r="AI31" s="71" t="str">
        <f t="shared" si="18"/>
        <v/>
      </c>
      <c r="AJ31" s="59" t="str">
        <f t="shared" si="19"/>
        <v/>
      </c>
      <c r="AK31" s="67" t="str">
        <f t="shared" si="20"/>
        <v/>
      </c>
      <c r="AL31" s="66"/>
      <c r="AM31" s="58"/>
      <c r="AN31" s="67" t="str">
        <f t="shared" si="21"/>
        <v/>
      </c>
    </row>
    <row r="32" spans="1:46" ht="18" customHeight="1">
      <c r="A32" s="73" t="str">
        <f>IF($C$9="Data Not Entered On Set-Up Worksheet","",IF(OR(VLOOKUP($C$9,County_Lookup_MC,15,FALSE)="",VLOOKUP($C$9,County_Lookup_MC,15,FALSE)=0),"",VLOOKUP($C$9,County_Lookup_MC,15,FALSE)))</f>
        <v/>
      </c>
      <c r="B32" s="66"/>
      <c r="C32" s="58"/>
      <c r="D32" s="67" t="str">
        <f t="shared" si="3"/>
        <v/>
      </c>
      <c r="E32" s="66"/>
      <c r="F32" s="58"/>
      <c r="G32" s="67" t="str">
        <f t="shared" si="4"/>
        <v/>
      </c>
      <c r="H32" s="66"/>
      <c r="I32" s="58"/>
      <c r="J32" s="67" t="str">
        <f t="shared" si="5"/>
        <v/>
      </c>
      <c r="K32" s="71" t="str">
        <f t="shared" si="6"/>
        <v/>
      </c>
      <c r="L32" s="59" t="str">
        <f t="shared" si="7"/>
        <v/>
      </c>
      <c r="M32" s="67" t="str">
        <f t="shared" si="8"/>
        <v/>
      </c>
      <c r="N32" s="66"/>
      <c r="O32" s="58"/>
      <c r="P32" s="67" t="str">
        <f t="shared" si="9"/>
        <v/>
      </c>
      <c r="Q32" s="66"/>
      <c r="R32" s="58"/>
      <c r="S32" s="67" t="str">
        <f t="shared" si="10"/>
        <v/>
      </c>
      <c r="T32" s="66"/>
      <c r="U32" s="58"/>
      <c r="V32" s="67" t="str">
        <f t="shared" si="11"/>
        <v/>
      </c>
      <c r="W32" s="71" t="str">
        <f t="shared" si="12"/>
        <v/>
      </c>
      <c r="X32" s="59" t="str">
        <f t="shared" si="13"/>
        <v/>
      </c>
      <c r="Y32" s="67" t="str">
        <f t="shared" si="14"/>
        <v/>
      </c>
      <c r="Z32" s="66"/>
      <c r="AA32" s="58"/>
      <c r="AB32" s="67" t="str">
        <f t="shared" si="15"/>
        <v/>
      </c>
      <c r="AC32" s="66"/>
      <c r="AD32" s="58"/>
      <c r="AE32" s="67" t="str">
        <f t="shared" si="16"/>
        <v/>
      </c>
      <c r="AF32" s="66"/>
      <c r="AG32" s="58"/>
      <c r="AH32" s="67" t="str">
        <f t="shared" si="17"/>
        <v/>
      </c>
      <c r="AI32" s="71" t="str">
        <f t="shared" si="18"/>
        <v/>
      </c>
      <c r="AJ32" s="59" t="str">
        <f t="shared" si="19"/>
        <v/>
      </c>
      <c r="AK32" s="67" t="str">
        <f t="shared" si="20"/>
        <v/>
      </c>
      <c r="AL32" s="66"/>
      <c r="AM32" s="58"/>
      <c r="AN32" s="67" t="str">
        <f t="shared" si="21"/>
        <v/>
      </c>
    </row>
    <row r="33" spans="1:40" ht="18" customHeight="1">
      <c r="A33" s="74" t="str">
        <f>IF($C$9="Data Not Entered On Set-Up Worksheet","",IF(OR(VLOOKUP($C$9,County_Lookup_MC,16,FALSE)="",VLOOKUP($C$9,County_Lookup_MC,16,FALSE)=0),"",VLOOKUP($C$9,County_Lookup_MC,16,FALSE)))</f>
        <v/>
      </c>
      <c r="B33" s="66"/>
      <c r="C33" s="58"/>
      <c r="D33" s="67" t="str">
        <f t="shared" si="3"/>
        <v/>
      </c>
      <c r="E33" s="66"/>
      <c r="F33" s="58"/>
      <c r="G33" s="67" t="str">
        <f t="shared" si="4"/>
        <v/>
      </c>
      <c r="H33" s="66"/>
      <c r="I33" s="58"/>
      <c r="J33" s="67" t="str">
        <f t="shared" si="5"/>
        <v/>
      </c>
      <c r="K33" s="71" t="str">
        <f t="shared" si="6"/>
        <v/>
      </c>
      <c r="L33" s="59" t="str">
        <f t="shared" si="7"/>
        <v/>
      </c>
      <c r="M33" s="67" t="str">
        <f t="shared" si="8"/>
        <v/>
      </c>
      <c r="N33" s="66"/>
      <c r="O33" s="58"/>
      <c r="P33" s="67" t="str">
        <f t="shared" si="9"/>
        <v/>
      </c>
      <c r="Q33" s="66"/>
      <c r="R33" s="58"/>
      <c r="S33" s="67" t="str">
        <f t="shared" si="10"/>
        <v/>
      </c>
      <c r="T33" s="66"/>
      <c r="U33" s="58"/>
      <c r="V33" s="67" t="str">
        <f t="shared" si="11"/>
        <v/>
      </c>
      <c r="W33" s="71" t="str">
        <f t="shared" si="12"/>
        <v/>
      </c>
      <c r="X33" s="59" t="str">
        <f t="shared" si="13"/>
        <v/>
      </c>
      <c r="Y33" s="67" t="str">
        <f t="shared" si="14"/>
        <v/>
      </c>
      <c r="Z33" s="66"/>
      <c r="AA33" s="58"/>
      <c r="AB33" s="67" t="str">
        <f t="shared" si="15"/>
        <v/>
      </c>
      <c r="AC33" s="66"/>
      <c r="AD33" s="58"/>
      <c r="AE33" s="67" t="str">
        <f t="shared" si="16"/>
        <v/>
      </c>
      <c r="AF33" s="66"/>
      <c r="AG33" s="58"/>
      <c r="AH33" s="67" t="str">
        <f t="shared" si="17"/>
        <v/>
      </c>
      <c r="AI33" s="71" t="str">
        <f t="shared" si="18"/>
        <v/>
      </c>
      <c r="AJ33" s="59" t="str">
        <f t="shared" si="19"/>
        <v/>
      </c>
      <c r="AK33" s="67" t="str">
        <f t="shared" si="20"/>
        <v/>
      </c>
      <c r="AL33" s="66"/>
      <c r="AM33" s="58"/>
      <c r="AN33" s="67" t="str">
        <f t="shared" si="21"/>
        <v/>
      </c>
    </row>
    <row r="34" spans="1:40" ht="18" customHeight="1">
      <c r="A34" s="74" t="str">
        <f>IF($C$9="Data Not Entered On Set-Up Worksheet","",IF(OR(VLOOKUP($C$9,County_Lookup_MC,17,FALSE)="",VLOOKUP($C$9,County_Lookup_MC,17,FALSE)=0),"",VLOOKUP($C$9,County_Lookup_MC,17,FALSE)))</f>
        <v/>
      </c>
      <c r="B34" s="66"/>
      <c r="C34" s="58"/>
      <c r="D34" s="67" t="str">
        <f t="shared" si="3"/>
        <v/>
      </c>
      <c r="E34" s="66"/>
      <c r="F34" s="58"/>
      <c r="G34" s="67" t="str">
        <f t="shared" si="4"/>
        <v/>
      </c>
      <c r="H34" s="66"/>
      <c r="I34" s="58"/>
      <c r="J34" s="67" t="str">
        <f t="shared" si="5"/>
        <v/>
      </c>
      <c r="K34" s="71" t="str">
        <f t="shared" si="6"/>
        <v/>
      </c>
      <c r="L34" s="59" t="str">
        <f t="shared" si="7"/>
        <v/>
      </c>
      <c r="M34" s="67" t="str">
        <f t="shared" si="8"/>
        <v/>
      </c>
      <c r="N34" s="66"/>
      <c r="O34" s="58"/>
      <c r="P34" s="67" t="str">
        <f t="shared" si="9"/>
        <v/>
      </c>
      <c r="Q34" s="66"/>
      <c r="R34" s="58"/>
      <c r="S34" s="67" t="str">
        <f t="shared" si="10"/>
        <v/>
      </c>
      <c r="T34" s="66"/>
      <c r="U34" s="58"/>
      <c r="V34" s="67" t="str">
        <f t="shared" si="11"/>
        <v/>
      </c>
      <c r="W34" s="71" t="str">
        <f t="shared" si="12"/>
        <v/>
      </c>
      <c r="X34" s="59" t="str">
        <f t="shared" si="13"/>
        <v/>
      </c>
      <c r="Y34" s="67" t="str">
        <f t="shared" si="14"/>
        <v/>
      </c>
      <c r="Z34" s="66"/>
      <c r="AA34" s="58"/>
      <c r="AB34" s="67" t="str">
        <f t="shared" si="15"/>
        <v/>
      </c>
      <c r="AC34" s="66"/>
      <c r="AD34" s="58"/>
      <c r="AE34" s="67" t="str">
        <f t="shared" si="16"/>
        <v/>
      </c>
      <c r="AF34" s="66"/>
      <c r="AG34" s="58"/>
      <c r="AH34" s="67" t="str">
        <f t="shared" si="17"/>
        <v/>
      </c>
      <c r="AI34" s="71" t="str">
        <f t="shared" si="18"/>
        <v/>
      </c>
      <c r="AJ34" s="59" t="str">
        <f t="shared" si="19"/>
        <v/>
      </c>
      <c r="AK34" s="67" t="str">
        <f t="shared" si="20"/>
        <v/>
      </c>
      <c r="AL34" s="66"/>
      <c r="AM34" s="58"/>
      <c r="AN34" s="67" t="str">
        <f t="shared" si="21"/>
        <v/>
      </c>
    </row>
    <row r="35" spans="1:40" ht="18" customHeight="1">
      <c r="A35" s="74" t="str">
        <f>IF($C$9="Data Not Entered On Set-Up Worksheet","",IF(OR(VLOOKUP($C$9,County_Lookup_MC,18,FALSE)="",VLOOKUP($C$9,County_Lookup_MC,18,FALSE)=0),"",VLOOKUP($C$9,County_Lookup_MC,18,FALSE)))</f>
        <v/>
      </c>
      <c r="B35" s="66"/>
      <c r="C35" s="58"/>
      <c r="D35" s="67" t="str">
        <f t="shared" si="3"/>
        <v/>
      </c>
      <c r="E35" s="66"/>
      <c r="F35" s="58"/>
      <c r="G35" s="67" t="str">
        <f t="shared" si="4"/>
        <v/>
      </c>
      <c r="H35" s="66"/>
      <c r="I35" s="58"/>
      <c r="J35" s="67" t="str">
        <f t="shared" si="5"/>
        <v/>
      </c>
      <c r="K35" s="71" t="str">
        <f t="shared" si="6"/>
        <v/>
      </c>
      <c r="L35" s="59" t="str">
        <f t="shared" si="7"/>
        <v/>
      </c>
      <c r="M35" s="67" t="str">
        <f t="shared" si="8"/>
        <v/>
      </c>
      <c r="N35" s="66"/>
      <c r="O35" s="58"/>
      <c r="P35" s="67" t="str">
        <f t="shared" si="9"/>
        <v/>
      </c>
      <c r="Q35" s="66"/>
      <c r="R35" s="58"/>
      <c r="S35" s="67" t="str">
        <f t="shared" si="10"/>
        <v/>
      </c>
      <c r="T35" s="66"/>
      <c r="U35" s="58"/>
      <c r="V35" s="67" t="str">
        <f t="shared" si="11"/>
        <v/>
      </c>
      <c r="W35" s="71" t="str">
        <f t="shared" si="12"/>
        <v/>
      </c>
      <c r="X35" s="59" t="str">
        <f t="shared" si="13"/>
        <v/>
      </c>
      <c r="Y35" s="67" t="str">
        <f t="shared" si="14"/>
        <v/>
      </c>
      <c r="Z35" s="66"/>
      <c r="AA35" s="58"/>
      <c r="AB35" s="67" t="str">
        <f t="shared" si="15"/>
        <v/>
      </c>
      <c r="AC35" s="66"/>
      <c r="AD35" s="58"/>
      <c r="AE35" s="67" t="str">
        <f t="shared" si="16"/>
        <v/>
      </c>
      <c r="AF35" s="66"/>
      <c r="AG35" s="58"/>
      <c r="AH35" s="67" t="str">
        <f t="shared" si="17"/>
        <v/>
      </c>
      <c r="AI35" s="71" t="str">
        <f t="shared" si="18"/>
        <v/>
      </c>
      <c r="AJ35" s="59" t="str">
        <f t="shared" si="19"/>
        <v/>
      </c>
      <c r="AK35" s="67" t="str">
        <f t="shared" si="20"/>
        <v/>
      </c>
      <c r="AL35" s="66"/>
      <c r="AM35" s="58"/>
      <c r="AN35" s="67" t="str">
        <f t="shared" si="21"/>
        <v/>
      </c>
    </row>
    <row r="36" spans="1:40" ht="18" customHeight="1">
      <c r="A36" s="74" t="str">
        <f>IF($C$9="Data Not Entered On Set-Up Worksheet","",IF(OR(VLOOKUP($C$9,County_Lookup_MC,19,FALSE)="",VLOOKUP($C$9,County_Lookup_MC,19,FALSE)=0),"",VLOOKUP($C$9,County_Lookup_MC,19,FALSE)))</f>
        <v/>
      </c>
      <c r="B36" s="66"/>
      <c r="C36" s="58"/>
      <c r="D36" s="67" t="str">
        <f t="shared" si="3"/>
        <v/>
      </c>
      <c r="E36" s="66"/>
      <c r="F36" s="58"/>
      <c r="G36" s="67" t="str">
        <f t="shared" si="4"/>
        <v/>
      </c>
      <c r="H36" s="66"/>
      <c r="I36" s="58"/>
      <c r="J36" s="67" t="str">
        <f t="shared" si="5"/>
        <v/>
      </c>
      <c r="K36" s="71" t="str">
        <f t="shared" si="6"/>
        <v/>
      </c>
      <c r="L36" s="59" t="str">
        <f t="shared" si="7"/>
        <v/>
      </c>
      <c r="M36" s="67" t="str">
        <f t="shared" si="8"/>
        <v/>
      </c>
      <c r="N36" s="66"/>
      <c r="O36" s="58"/>
      <c r="P36" s="67" t="str">
        <f t="shared" si="9"/>
        <v/>
      </c>
      <c r="Q36" s="66"/>
      <c r="R36" s="58"/>
      <c r="S36" s="67" t="str">
        <f t="shared" si="10"/>
        <v/>
      </c>
      <c r="T36" s="66"/>
      <c r="U36" s="58"/>
      <c r="V36" s="67" t="str">
        <f t="shared" si="11"/>
        <v/>
      </c>
      <c r="W36" s="71" t="str">
        <f t="shared" si="12"/>
        <v/>
      </c>
      <c r="X36" s="59" t="str">
        <f t="shared" si="13"/>
        <v/>
      </c>
      <c r="Y36" s="67" t="str">
        <f t="shared" si="14"/>
        <v/>
      </c>
      <c r="Z36" s="66"/>
      <c r="AA36" s="58"/>
      <c r="AB36" s="67" t="str">
        <f t="shared" si="15"/>
        <v/>
      </c>
      <c r="AC36" s="66"/>
      <c r="AD36" s="58"/>
      <c r="AE36" s="67" t="str">
        <f t="shared" si="16"/>
        <v/>
      </c>
      <c r="AF36" s="66"/>
      <c r="AG36" s="58"/>
      <c r="AH36" s="67" t="str">
        <f t="shared" si="17"/>
        <v/>
      </c>
      <c r="AI36" s="71" t="str">
        <f t="shared" si="18"/>
        <v/>
      </c>
      <c r="AJ36" s="59" t="str">
        <f t="shared" si="19"/>
        <v/>
      </c>
      <c r="AK36" s="67" t="str">
        <f t="shared" si="20"/>
        <v/>
      </c>
      <c r="AL36" s="66"/>
      <c r="AM36" s="58"/>
      <c r="AN36" s="67" t="str">
        <f t="shared" si="21"/>
        <v/>
      </c>
    </row>
    <row r="37" spans="1:40" ht="18" customHeight="1">
      <c r="A37" s="74" t="str">
        <f>IF($C$9="Data Not Entered On Set-Up Worksheet","",IF(OR(VLOOKUP($C$9,County_Lookup_MC,20,FALSE)="",VLOOKUP($C$9,County_Lookup_MC,20,FALSE)=0),"",VLOOKUP($C$9,County_Lookup_MC,20,FALSE)))</f>
        <v/>
      </c>
      <c r="B37" s="66"/>
      <c r="C37" s="58"/>
      <c r="D37" s="67" t="str">
        <f t="shared" si="3"/>
        <v/>
      </c>
      <c r="E37" s="66"/>
      <c r="F37" s="58"/>
      <c r="G37" s="67" t="str">
        <f t="shared" si="4"/>
        <v/>
      </c>
      <c r="H37" s="66"/>
      <c r="I37" s="58"/>
      <c r="J37" s="67" t="str">
        <f t="shared" si="5"/>
        <v/>
      </c>
      <c r="K37" s="71" t="str">
        <f t="shared" si="6"/>
        <v/>
      </c>
      <c r="L37" s="59" t="str">
        <f t="shared" si="7"/>
        <v/>
      </c>
      <c r="M37" s="67" t="str">
        <f t="shared" si="8"/>
        <v/>
      </c>
      <c r="N37" s="66"/>
      <c r="O37" s="58"/>
      <c r="P37" s="67" t="str">
        <f t="shared" si="9"/>
        <v/>
      </c>
      <c r="Q37" s="66"/>
      <c r="R37" s="58"/>
      <c r="S37" s="67" t="str">
        <f t="shared" si="10"/>
        <v/>
      </c>
      <c r="T37" s="66"/>
      <c r="U37" s="58"/>
      <c r="V37" s="67" t="str">
        <f t="shared" si="11"/>
        <v/>
      </c>
      <c r="W37" s="71" t="str">
        <f t="shared" si="12"/>
        <v/>
      </c>
      <c r="X37" s="59" t="str">
        <f t="shared" si="13"/>
        <v/>
      </c>
      <c r="Y37" s="67" t="str">
        <f t="shared" si="14"/>
        <v/>
      </c>
      <c r="Z37" s="66"/>
      <c r="AA37" s="58"/>
      <c r="AB37" s="67" t="str">
        <f t="shared" si="15"/>
        <v/>
      </c>
      <c r="AC37" s="66"/>
      <c r="AD37" s="58"/>
      <c r="AE37" s="67" t="str">
        <f t="shared" si="16"/>
        <v/>
      </c>
      <c r="AF37" s="66"/>
      <c r="AG37" s="58"/>
      <c r="AH37" s="67" t="str">
        <f t="shared" si="17"/>
        <v/>
      </c>
      <c r="AI37" s="71" t="str">
        <f t="shared" si="18"/>
        <v/>
      </c>
      <c r="AJ37" s="59" t="str">
        <f t="shared" si="19"/>
        <v/>
      </c>
      <c r="AK37" s="67" t="str">
        <f t="shared" si="20"/>
        <v/>
      </c>
      <c r="AL37" s="66"/>
      <c r="AM37" s="58"/>
      <c r="AN37" s="67" t="str">
        <f t="shared" si="21"/>
        <v/>
      </c>
    </row>
    <row r="38" spans="1:40" ht="18" customHeight="1">
      <c r="A38" s="74" t="str">
        <f>IF($C$9="Data Not Entered On Set-Up Worksheet","",IF(OR(VLOOKUP($C$9,County_Lookup_MC,21,FALSE)="",VLOOKUP($C$9,County_Lookup_MC,21,FALSE)=0),"",VLOOKUP($C$9,County_Lookup_MC,21,FALSE)))</f>
        <v/>
      </c>
      <c r="B38" s="66"/>
      <c r="C38" s="58"/>
      <c r="D38" s="67" t="str">
        <f t="shared" si="3"/>
        <v/>
      </c>
      <c r="E38" s="66"/>
      <c r="F38" s="58"/>
      <c r="G38" s="67" t="str">
        <f t="shared" si="4"/>
        <v/>
      </c>
      <c r="H38" s="66"/>
      <c r="I38" s="58"/>
      <c r="J38" s="67" t="str">
        <f t="shared" si="5"/>
        <v/>
      </c>
      <c r="K38" s="71" t="str">
        <f t="shared" si="6"/>
        <v/>
      </c>
      <c r="L38" s="59" t="str">
        <f t="shared" si="7"/>
        <v/>
      </c>
      <c r="M38" s="67" t="str">
        <f t="shared" si="8"/>
        <v/>
      </c>
      <c r="N38" s="66"/>
      <c r="O38" s="58"/>
      <c r="P38" s="67" t="str">
        <f t="shared" si="9"/>
        <v/>
      </c>
      <c r="Q38" s="66"/>
      <c r="R38" s="58"/>
      <c r="S38" s="67" t="str">
        <f t="shared" si="10"/>
        <v/>
      </c>
      <c r="T38" s="66"/>
      <c r="U38" s="58"/>
      <c r="V38" s="67" t="str">
        <f t="shared" si="11"/>
        <v/>
      </c>
      <c r="W38" s="71" t="str">
        <f t="shared" si="12"/>
        <v/>
      </c>
      <c r="X38" s="59" t="str">
        <f t="shared" si="13"/>
        <v/>
      </c>
      <c r="Y38" s="67" t="str">
        <f t="shared" si="14"/>
        <v/>
      </c>
      <c r="Z38" s="66"/>
      <c r="AA38" s="58"/>
      <c r="AB38" s="67" t="str">
        <f t="shared" si="15"/>
        <v/>
      </c>
      <c r="AC38" s="66"/>
      <c r="AD38" s="58"/>
      <c r="AE38" s="67" t="str">
        <f t="shared" si="16"/>
        <v/>
      </c>
      <c r="AF38" s="66"/>
      <c r="AG38" s="58"/>
      <c r="AH38" s="67" t="str">
        <f t="shared" si="17"/>
        <v/>
      </c>
      <c r="AI38" s="71" t="str">
        <f t="shared" si="18"/>
        <v/>
      </c>
      <c r="AJ38" s="59" t="str">
        <f t="shared" si="19"/>
        <v/>
      </c>
      <c r="AK38" s="67" t="str">
        <f t="shared" si="20"/>
        <v/>
      </c>
      <c r="AL38" s="66"/>
      <c r="AM38" s="58"/>
      <c r="AN38" s="67" t="str">
        <f t="shared" si="21"/>
        <v/>
      </c>
    </row>
    <row r="39" spans="1:40" ht="18" customHeight="1">
      <c r="A39" s="73" t="str">
        <f>IF($C$9="Data Not Entered On Set-Up Worksheet","",IF(OR(VLOOKUP($C$9,County_Lookup_MC,22,FALSE)="",VLOOKUP($C$9,County_Lookup_MC,22,FALSE)=0),"",VLOOKUP($C$9,County_Lookup_MC,22,FALSE)))</f>
        <v/>
      </c>
      <c r="B39" s="66"/>
      <c r="C39" s="58"/>
      <c r="D39" s="67" t="str">
        <f t="shared" si="3"/>
        <v/>
      </c>
      <c r="E39" s="66"/>
      <c r="F39" s="58"/>
      <c r="G39" s="67" t="str">
        <f t="shared" si="4"/>
        <v/>
      </c>
      <c r="H39" s="66"/>
      <c r="I39" s="58"/>
      <c r="J39" s="67" t="str">
        <f t="shared" si="5"/>
        <v/>
      </c>
      <c r="K39" s="71" t="str">
        <f t="shared" si="6"/>
        <v/>
      </c>
      <c r="L39" s="59" t="str">
        <f t="shared" si="7"/>
        <v/>
      </c>
      <c r="M39" s="67" t="str">
        <f t="shared" si="8"/>
        <v/>
      </c>
      <c r="N39" s="66"/>
      <c r="O39" s="58"/>
      <c r="P39" s="67" t="str">
        <f t="shared" si="9"/>
        <v/>
      </c>
      <c r="Q39" s="66"/>
      <c r="R39" s="58"/>
      <c r="S39" s="67" t="str">
        <f t="shared" si="10"/>
        <v/>
      </c>
      <c r="T39" s="66"/>
      <c r="U39" s="58"/>
      <c r="V39" s="67" t="str">
        <f t="shared" si="11"/>
        <v/>
      </c>
      <c r="W39" s="71" t="str">
        <f t="shared" si="12"/>
        <v/>
      </c>
      <c r="X39" s="59" t="str">
        <f t="shared" si="13"/>
        <v/>
      </c>
      <c r="Y39" s="67" t="str">
        <f t="shared" si="14"/>
        <v/>
      </c>
      <c r="Z39" s="66"/>
      <c r="AA39" s="58"/>
      <c r="AB39" s="67" t="str">
        <f t="shared" si="15"/>
        <v/>
      </c>
      <c r="AC39" s="66"/>
      <c r="AD39" s="58"/>
      <c r="AE39" s="67" t="str">
        <f t="shared" si="16"/>
        <v/>
      </c>
      <c r="AF39" s="66"/>
      <c r="AG39" s="58"/>
      <c r="AH39" s="67" t="str">
        <f t="shared" si="17"/>
        <v/>
      </c>
      <c r="AI39" s="71" t="str">
        <f t="shared" si="18"/>
        <v/>
      </c>
      <c r="AJ39" s="59" t="str">
        <f t="shared" si="19"/>
        <v/>
      </c>
      <c r="AK39" s="67" t="str">
        <f t="shared" si="20"/>
        <v/>
      </c>
      <c r="AL39" s="66"/>
      <c r="AM39" s="58"/>
      <c r="AN39" s="67" t="str">
        <f t="shared" si="21"/>
        <v/>
      </c>
    </row>
    <row r="40" spans="1:40" ht="18" customHeight="1">
      <c r="A40" s="74" t="str">
        <f>IF($C$9="Data Not Entered On Set-Up Worksheet","",IF(OR(VLOOKUP($C$9,County_Lookup_MC,23,FALSE)="",VLOOKUP($C$9,County_Lookup_MC,23,FALSE)=0),"",VLOOKUP($C$9,County_Lookup_MC,23,FALSE)))</f>
        <v/>
      </c>
      <c r="B40" s="66"/>
      <c r="C40" s="58"/>
      <c r="D40" s="67" t="str">
        <f t="shared" si="3"/>
        <v/>
      </c>
      <c r="E40" s="66"/>
      <c r="F40" s="58"/>
      <c r="G40" s="67" t="str">
        <f t="shared" si="4"/>
        <v/>
      </c>
      <c r="H40" s="66"/>
      <c r="I40" s="58"/>
      <c r="J40" s="67" t="str">
        <f t="shared" si="5"/>
        <v/>
      </c>
      <c r="K40" s="71" t="str">
        <f t="shared" si="6"/>
        <v/>
      </c>
      <c r="L40" s="59" t="str">
        <f t="shared" si="7"/>
        <v/>
      </c>
      <c r="M40" s="67" t="str">
        <f t="shared" si="8"/>
        <v/>
      </c>
      <c r="N40" s="66"/>
      <c r="O40" s="58"/>
      <c r="P40" s="67" t="str">
        <f t="shared" si="9"/>
        <v/>
      </c>
      <c r="Q40" s="66"/>
      <c r="R40" s="58"/>
      <c r="S40" s="67" t="str">
        <f t="shared" si="10"/>
        <v/>
      </c>
      <c r="T40" s="66"/>
      <c r="U40" s="58"/>
      <c r="V40" s="67" t="str">
        <f t="shared" si="11"/>
        <v/>
      </c>
      <c r="W40" s="71" t="str">
        <f t="shared" si="12"/>
        <v/>
      </c>
      <c r="X40" s="59" t="str">
        <f t="shared" si="13"/>
        <v/>
      </c>
      <c r="Y40" s="67" t="str">
        <f t="shared" si="14"/>
        <v/>
      </c>
      <c r="Z40" s="66"/>
      <c r="AA40" s="58"/>
      <c r="AB40" s="67" t="str">
        <f t="shared" si="15"/>
        <v/>
      </c>
      <c r="AC40" s="66"/>
      <c r="AD40" s="58"/>
      <c r="AE40" s="67" t="str">
        <f t="shared" si="16"/>
        <v/>
      </c>
      <c r="AF40" s="66"/>
      <c r="AG40" s="58"/>
      <c r="AH40" s="67" t="str">
        <f t="shared" si="17"/>
        <v/>
      </c>
      <c r="AI40" s="71" t="str">
        <f t="shared" si="18"/>
        <v/>
      </c>
      <c r="AJ40" s="59" t="str">
        <f t="shared" si="19"/>
        <v/>
      </c>
      <c r="AK40" s="67" t="str">
        <f t="shared" si="20"/>
        <v/>
      </c>
      <c r="AL40" s="66"/>
      <c r="AM40" s="58"/>
      <c r="AN40" s="67" t="str">
        <f t="shared" si="21"/>
        <v/>
      </c>
    </row>
    <row r="41" spans="1:40" ht="18" customHeight="1">
      <c r="A41" s="74" t="str">
        <f>IF($C$9="Data Not Entered On Set-Up Worksheet","",IF(OR(VLOOKUP($C$9,County_Lookup_MC,24,FALSE)="",VLOOKUP($C$9,County_Lookup_MC,24,FALSE)=0),"",VLOOKUP($C$9,County_Lookup_MC,24,FALSE)))</f>
        <v/>
      </c>
      <c r="B41" s="66"/>
      <c r="C41" s="58"/>
      <c r="D41" s="67" t="str">
        <f t="shared" ref="D41:D43" si="22">IF($A41="","",IF(C41=0,0,B41/C41))</f>
        <v/>
      </c>
      <c r="E41" s="66"/>
      <c r="F41" s="58"/>
      <c r="G41" s="67" t="str">
        <f t="shared" ref="G41:G43" si="23">IF($A41="","",IF(F41=0,0,E41/F41))</f>
        <v/>
      </c>
      <c r="H41" s="66"/>
      <c r="I41" s="58"/>
      <c r="J41" s="67" t="str">
        <f t="shared" ref="J41:J43" si="24">IF($A41="","",IF(I41=0,0,H41/I41))</f>
        <v/>
      </c>
      <c r="K41" s="71" t="str">
        <f t="shared" ref="K41:K43" si="25">IF($A41="","",SUM(E41,H41))</f>
        <v/>
      </c>
      <c r="L41" s="59" t="str">
        <f t="shared" ref="L41:L43" si="26">IF($A41="","",SUM(F41,I41))</f>
        <v/>
      </c>
      <c r="M41" s="67" t="str">
        <f t="shared" ref="M41:M43" si="27">IF($A41="","",IF(L41=0,0,K41/L41))</f>
        <v/>
      </c>
      <c r="N41" s="66"/>
      <c r="O41" s="58"/>
      <c r="P41" s="67" t="str">
        <f t="shared" ref="P41:P43" si="28">IF($A41="","",IF(O41=0,0,N41/O41))</f>
        <v/>
      </c>
      <c r="Q41" s="66"/>
      <c r="R41" s="58"/>
      <c r="S41" s="67" t="str">
        <f t="shared" ref="S41:S43" si="29">IF($A41="","",IF(R41=0,0,Q41/R41))</f>
        <v/>
      </c>
      <c r="T41" s="66"/>
      <c r="U41" s="58"/>
      <c r="V41" s="67" t="str">
        <f t="shared" ref="V41:V43" si="30">IF($A41="","",IF(U41=0,0,T41/U41))</f>
        <v/>
      </c>
      <c r="W41" s="71" t="str">
        <f t="shared" ref="W41:W43" si="31">IF($A41="","",SUM(Q41,T41))</f>
        <v/>
      </c>
      <c r="X41" s="59" t="str">
        <f t="shared" ref="X41:X43" si="32">IF($A41="","",SUM(R41,U41))</f>
        <v/>
      </c>
      <c r="Y41" s="67" t="str">
        <f t="shared" ref="Y41:Y43" si="33">IF($A41="","",IF(X41=0,0,W41/X41))</f>
        <v/>
      </c>
      <c r="Z41" s="66"/>
      <c r="AA41" s="58"/>
      <c r="AB41" s="67" t="str">
        <f t="shared" ref="AB41:AB43" si="34">IF($A41="","",IF(AA41=0,0,Z41/AA41))</f>
        <v/>
      </c>
      <c r="AC41" s="66"/>
      <c r="AD41" s="58"/>
      <c r="AE41" s="67" t="str">
        <f t="shared" ref="AE41:AE43" si="35">IF($A41="","",IF(AD41=0,0,AC41/AD41))</f>
        <v/>
      </c>
      <c r="AF41" s="66"/>
      <c r="AG41" s="58"/>
      <c r="AH41" s="67" t="str">
        <f t="shared" ref="AH41:AH43" si="36">IF($A41="","",IF(AG41=0,0,AF41/AG41))</f>
        <v/>
      </c>
      <c r="AI41" s="71" t="str">
        <f t="shared" ref="AI41:AI43" si="37">IF($A41="","",SUM(AC41,AF41))</f>
        <v/>
      </c>
      <c r="AJ41" s="59" t="str">
        <f t="shared" ref="AJ41:AJ43" si="38">IF($A41="","",SUM(AD41,AG41))</f>
        <v/>
      </c>
      <c r="AK41" s="67" t="str">
        <f t="shared" ref="AK41:AK43" si="39">IF($A41="","",IF(AJ41=0,0,AI41/AJ41))</f>
        <v/>
      </c>
      <c r="AL41" s="66"/>
      <c r="AM41" s="58"/>
      <c r="AN41" s="67" t="str">
        <f t="shared" ref="AN41:AN43" si="40">IF($A41="","",IF(AM41=0,0,AL41/AM41))</f>
        <v/>
      </c>
    </row>
    <row r="42" spans="1:40" ht="18" customHeight="1">
      <c r="A42" s="74" t="str">
        <f>IF($C$9="Data Not Entered On Set-Up Worksheet","",IF(OR(VLOOKUP($C$9,County_Lookup_MC,25,FALSE)="",VLOOKUP($C$9,County_Lookup_MC,25,FALSE)=0),"",VLOOKUP($C$9,County_Lookup_MC,25,FALSE)))</f>
        <v/>
      </c>
      <c r="B42" s="66"/>
      <c r="C42" s="58"/>
      <c r="D42" s="67" t="str">
        <f t="shared" si="22"/>
        <v/>
      </c>
      <c r="E42" s="66"/>
      <c r="F42" s="58"/>
      <c r="G42" s="67" t="str">
        <f t="shared" si="23"/>
        <v/>
      </c>
      <c r="H42" s="66"/>
      <c r="I42" s="58"/>
      <c r="J42" s="67" t="str">
        <f t="shared" si="24"/>
        <v/>
      </c>
      <c r="K42" s="71" t="str">
        <f t="shared" si="25"/>
        <v/>
      </c>
      <c r="L42" s="59" t="str">
        <f t="shared" si="26"/>
        <v/>
      </c>
      <c r="M42" s="67" t="str">
        <f t="shared" si="27"/>
        <v/>
      </c>
      <c r="N42" s="66"/>
      <c r="O42" s="58"/>
      <c r="P42" s="67" t="str">
        <f t="shared" si="28"/>
        <v/>
      </c>
      <c r="Q42" s="66"/>
      <c r="R42" s="58"/>
      <c r="S42" s="67" t="str">
        <f t="shared" si="29"/>
        <v/>
      </c>
      <c r="T42" s="66"/>
      <c r="U42" s="58"/>
      <c r="V42" s="67" t="str">
        <f t="shared" si="30"/>
        <v/>
      </c>
      <c r="W42" s="71" t="str">
        <f t="shared" si="31"/>
        <v/>
      </c>
      <c r="X42" s="59" t="str">
        <f t="shared" si="32"/>
        <v/>
      </c>
      <c r="Y42" s="67" t="str">
        <f t="shared" si="33"/>
        <v/>
      </c>
      <c r="Z42" s="66"/>
      <c r="AA42" s="58"/>
      <c r="AB42" s="67" t="str">
        <f t="shared" si="34"/>
        <v/>
      </c>
      <c r="AC42" s="66"/>
      <c r="AD42" s="58"/>
      <c r="AE42" s="67" t="str">
        <f t="shared" si="35"/>
        <v/>
      </c>
      <c r="AF42" s="66"/>
      <c r="AG42" s="58"/>
      <c r="AH42" s="67" t="str">
        <f t="shared" si="36"/>
        <v/>
      </c>
      <c r="AI42" s="71" t="str">
        <f t="shared" si="37"/>
        <v/>
      </c>
      <c r="AJ42" s="59" t="str">
        <f t="shared" si="38"/>
        <v/>
      </c>
      <c r="AK42" s="67" t="str">
        <f t="shared" si="39"/>
        <v/>
      </c>
      <c r="AL42" s="66"/>
      <c r="AM42" s="58"/>
      <c r="AN42" s="67" t="str">
        <f t="shared" si="40"/>
        <v/>
      </c>
    </row>
    <row r="43" spans="1:40" ht="18" customHeight="1">
      <c r="A43" s="74" t="str">
        <f>IF($C$9="Data Not Entered On Set-Up Worksheet","",IF(OR(VLOOKUP($C$9,County_Lookup_MC,26,FALSE)="",VLOOKUP($C$9,County_Lookup_MC,26,FALSE)=0),"",VLOOKUP($C$9,County_Lookup_MC,26,FALSE)))</f>
        <v/>
      </c>
      <c r="B43" s="66"/>
      <c r="C43" s="58"/>
      <c r="D43" s="67" t="str">
        <f t="shared" si="22"/>
        <v/>
      </c>
      <c r="E43" s="66"/>
      <c r="F43" s="58"/>
      <c r="G43" s="67" t="str">
        <f t="shared" si="23"/>
        <v/>
      </c>
      <c r="H43" s="66"/>
      <c r="I43" s="58"/>
      <c r="J43" s="67" t="str">
        <f t="shared" si="24"/>
        <v/>
      </c>
      <c r="K43" s="71" t="str">
        <f t="shared" si="25"/>
        <v/>
      </c>
      <c r="L43" s="59" t="str">
        <f t="shared" si="26"/>
        <v/>
      </c>
      <c r="M43" s="67" t="str">
        <f t="shared" si="27"/>
        <v/>
      </c>
      <c r="N43" s="66"/>
      <c r="O43" s="58"/>
      <c r="P43" s="67" t="str">
        <f t="shared" si="28"/>
        <v/>
      </c>
      <c r="Q43" s="66"/>
      <c r="R43" s="58"/>
      <c r="S43" s="67" t="str">
        <f t="shared" si="29"/>
        <v/>
      </c>
      <c r="T43" s="66"/>
      <c r="U43" s="58"/>
      <c r="V43" s="67" t="str">
        <f t="shared" si="30"/>
        <v/>
      </c>
      <c r="W43" s="71" t="str">
        <f t="shared" si="31"/>
        <v/>
      </c>
      <c r="X43" s="59" t="str">
        <f t="shared" si="32"/>
        <v/>
      </c>
      <c r="Y43" s="67" t="str">
        <f t="shared" si="33"/>
        <v/>
      </c>
      <c r="Z43" s="66"/>
      <c r="AA43" s="58"/>
      <c r="AB43" s="67" t="str">
        <f t="shared" si="34"/>
        <v/>
      </c>
      <c r="AC43" s="66"/>
      <c r="AD43" s="58"/>
      <c r="AE43" s="67" t="str">
        <f t="shared" si="35"/>
        <v/>
      </c>
      <c r="AF43" s="66"/>
      <c r="AG43" s="58"/>
      <c r="AH43" s="67" t="str">
        <f t="shared" si="36"/>
        <v/>
      </c>
      <c r="AI43" s="71" t="str">
        <f t="shared" si="37"/>
        <v/>
      </c>
      <c r="AJ43" s="59" t="str">
        <f t="shared" si="38"/>
        <v/>
      </c>
      <c r="AK43" s="67" t="str">
        <f t="shared" si="39"/>
        <v/>
      </c>
      <c r="AL43" s="66"/>
      <c r="AM43" s="58"/>
      <c r="AN43" s="67" t="str">
        <f t="shared" si="40"/>
        <v/>
      </c>
    </row>
    <row r="44" spans="1:40" ht="18" customHeight="1">
      <c r="A44" s="74" t="str">
        <f>IF($C$9="Data Not Entered On Set-Up Worksheet","",IF(OR(VLOOKUP($C$9,County_Lookup_MC,27,FALSE)="",VLOOKUP($C$9,County_Lookup_MC,27,FALSE)=0),"",VLOOKUP($C$9,County_Lookup_MC,27,FALSE)))</f>
        <v/>
      </c>
      <c r="B44" s="66"/>
      <c r="C44" s="58"/>
      <c r="D44" s="67" t="str">
        <f t="shared" si="3"/>
        <v/>
      </c>
      <c r="E44" s="66"/>
      <c r="F44" s="58"/>
      <c r="G44" s="67" t="str">
        <f t="shared" si="4"/>
        <v/>
      </c>
      <c r="H44" s="66"/>
      <c r="I44" s="58"/>
      <c r="J44" s="67" t="str">
        <f t="shared" si="5"/>
        <v/>
      </c>
      <c r="K44" s="71" t="str">
        <f t="shared" si="6"/>
        <v/>
      </c>
      <c r="L44" s="59" t="str">
        <f t="shared" si="7"/>
        <v/>
      </c>
      <c r="M44" s="67" t="str">
        <f t="shared" si="8"/>
        <v/>
      </c>
      <c r="N44" s="66"/>
      <c r="O44" s="58"/>
      <c r="P44" s="67" t="str">
        <f t="shared" si="9"/>
        <v/>
      </c>
      <c r="Q44" s="66"/>
      <c r="R44" s="58"/>
      <c r="S44" s="67" t="str">
        <f t="shared" si="10"/>
        <v/>
      </c>
      <c r="T44" s="66"/>
      <c r="U44" s="58"/>
      <c r="V44" s="67" t="str">
        <f t="shared" si="11"/>
        <v/>
      </c>
      <c r="W44" s="71" t="str">
        <f t="shared" si="12"/>
        <v/>
      </c>
      <c r="X44" s="59" t="str">
        <f t="shared" si="13"/>
        <v/>
      </c>
      <c r="Y44" s="67" t="str">
        <f t="shared" si="14"/>
        <v/>
      </c>
      <c r="Z44" s="66"/>
      <c r="AA44" s="58"/>
      <c r="AB44" s="67" t="str">
        <f t="shared" si="15"/>
        <v/>
      </c>
      <c r="AC44" s="66"/>
      <c r="AD44" s="58"/>
      <c r="AE44" s="67" t="str">
        <f t="shared" si="16"/>
        <v/>
      </c>
      <c r="AF44" s="66"/>
      <c r="AG44" s="58"/>
      <c r="AH44" s="67" t="str">
        <f t="shared" si="17"/>
        <v/>
      </c>
      <c r="AI44" s="71" t="str">
        <f t="shared" si="18"/>
        <v/>
      </c>
      <c r="AJ44" s="59" t="str">
        <f t="shared" si="19"/>
        <v/>
      </c>
      <c r="AK44" s="67" t="str">
        <f t="shared" si="20"/>
        <v/>
      </c>
      <c r="AL44" s="66"/>
      <c r="AM44" s="58"/>
      <c r="AN44" s="67" t="str">
        <f t="shared" si="21"/>
        <v/>
      </c>
    </row>
    <row r="45" spans="1:40" ht="18" customHeight="1" thickBot="1">
      <c r="A45" s="75" t="s">
        <v>0</v>
      </c>
      <c r="B45" s="68">
        <f>SUM(B19:B44)</f>
        <v>0</v>
      </c>
      <c r="C45" s="69">
        <f>SUM(C19:C44)</f>
        <v>0</v>
      </c>
      <c r="D45" s="70">
        <f t="shared" ref="D45" si="41">IF(C45=0,0,B45/C45)</f>
        <v>0</v>
      </c>
      <c r="E45" s="68">
        <f>SUM(E19:E44)</f>
        <v>0</v>
      </c>
      <c r="F45" s="69">
        <f>SUM(F19:F44)</f>
        <v>0</v>
      </c>
      <c r="G45" s="70">
        <f t="shared" ref="G45" si="42">IF(F45=0,0,E45/F45)</f>
        <v>0</v>
      </c>
      <c r="H45" s="68">
        <f>SUM(H19:H44)</f>
        <v>0</v>
      </c>
      <c r="I45" s="69">
        <f>SUM(I19:I44)</f>
        <v>0</v>
      </c>
      <c r="J45" s="70">
        <f t="shared" ref="J45" si="43">IF(I45=0,0,H45/I45)</f>
        <v>0</v>
      </c>
      <c r="K45" s="68">
        <f>SUM(K19:K44)</f>
        <v>0</v>
      </c>
      <c r="L45" s="69">
        <f>SUM(L19:L44)</f>
        <v>0</v>
      </c>
      <c r="M45" s="70">
        <f t="shared" ref="M45" si="44">IF(L45=0,0,K45/L45)</f>
        <v>0</v>
      </c>
      <c r="N45" s="68">
        <f>SUM(N19:N44)</f>
        <v>0</v>
      </c>
      <c r="O45" s="69">
        <f>SUM(O19:O44)</f>
        <v>0</v>
      </c>
      <c r="P45" s="70">
        <f t="shared" ref="P45" si="45">IF(O45=0,0,N45/O45)</f>
        <v>0</v>
      </c>
      <c r="Q45" s="68">
        <f>SUM(Q19:Q44)</f>
        <v>0</v>
      </c>
      <c r="R45" s="69">
        <f>SUM(R19:R44)</f>
        <v>0</v>
      </c>
      <c r="S45" s="70">
        <f t="shared" ref="S45" si="46">IF(R45=0,0,Q45/R45)</f>
        <v>0</v>
      </c>
      <c r="T45" s="68">
        <f>SUM(T19:T44)</f>
        <v>0</v>
      </c>
      <c r="U45" s="69">
        <f>SUM(U19:U44)</f>
        <v>0</v>
      </c>
      <c r="V45" s="70">
        <f t="shared" ref="V45" si="47">IF(U45=0,0,T45/U45)</f>
        <v>0</v>
      </c>
      <c r="W45" s="68">
        <f>SUM(W19:W44)</f>
        <v>0</v>
      </c>
      <c r="X45" s="69">
        <f>SUM(X19:X44)</f>
        <v>0</v>
      </c>
      <c r="Y45" s="70">
        <f t="shared" ref="Y45" si="48">IF(X45=0,0,W45/X45)</f>
        <v>0</v>
      </c>
      <c r="Z45" s="68">
        <f>SUM(Z19:Z44)</f>
        <v>0</v>
      </c>
      <c r="AA45" s="69">
        <f>SUM(AA19:AA44)</f>
        <v>0</v>
      </c>
      <c r="AB45" s="70">
        <f t="shared" ref="AB45" si="49">IF(AA45=0,0,Z45/AA45)</f>
        <v>0</v>
      </c>
      <c r="AC45" s="68">
        <f>SUM(AC19:AC44)</f>
        <v>0</v>
      </c>
      <c r="AD45" s="69">
        <f>SUM(AD19:AD44)</f>
        <v>0</v>
      </c>
      <c r="AE45" s="70">
        <f t="shared" ref="AE45" si="50">IF(AD45=0,0,AC45/AD45)</f>
        <v>0</v>
      </c>
      <c r="AF45" s="68">
        <f>SUM(AF19:AF44)</f>
        <v>0</v>
      </c>
      <c r="AG45" s="69">
        <f>SUM(AG19:AG44)</f>
        <v>0</v>
      </c>
      <c r="AH45" s="70">
        <f t="shared" ref="AH45" si="51">IF(AG45=0,0,AF45/AG45)</f>
        <v>0</v>
      </c>
      <c r="AI45" s="68">
        <f>SUM(AI19:AI44)</f>
        <v>0</v>
      </c>
      <c r="AJ45" s="69">
        <f>SUM(AJ19:AJ44)</f>
        <v>0</v>
      </c>
      <c r="AK45" s="70">
        <f t="shared" ref="AK45" si="52">IF(AJ45=0,0,AI45/AJ45)</f>
        <v>0</v>
      </c>
      <c r="AL45" s="68">
        <f>SUM(AL19:AL44)</f>
        <v>0</v>
      </c>
      <c r="AM45" s="69">
        <f>SUM(AM19:AM44)</f>
        <v>0</v>
      </c>
      <c r="AN45" s="70">
        <f t="shared" ref="AN45" si="53">IF(AM45=0,0,AL45/AM45)</f>
        <v>0</v>
      </c>
    </row>
    <row r="47" spans="1:40" ht="20.100000000000001" customHeight="1">
      <c r="A47" s="205" t="s">
        <v>232</v>
      </c>
      <c r="B47"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2019 - Jun 2020)</v>
      </c>
      <c r="C47" s="159"/>
      <c r="D47" s="159"/>
      <c r="E47" s="159"/>
      <c r="F47" s="159"/>
      <c r="G47" s="159"/>
      <c r="H47" s="159"/>
      <c r="I47" s="159"/>
      <c r="J47" s="159"/>
      <c r="K47" s="159"/>
      <c r="L47" s="159"/>
      <c r="M47" s="159"/>
      <c r="N47" s="159" t="str">
        <f>$B$47</f>
        <v>State Fiscal Year-To-Date (Jul 2019 - Jun 2020)</v>
      </c>
      <c r="O47" s="159"/>
      <c r="P47" s="159"/>
      <c r="Q47" s="159"/>
      <c r="R47" s="159"/>
      <c r="S47" s="159"/>
      <c r="T47" s="159"/>
      <c r="U47" s="159"/>
      <c r="V47" s="159"/>
      <c r="W47" s="159"/>
      <c r="X47" s="159"/>
      <c r="Y47" s="159"/>
      <c r="Z47" s="159" t="str">
        <f>$B$47</f>
        <v>State Fiscal Year-To-Date (Jul 2019 - Jun 2020)</v>
      </c>
      <c r="AA47" s="159"/>
      <c r="AB47" s="159"/>
      <c r="AC47" s="159"/>
      <c r="AD47" s="159"/>
      <c r="AE47" s="159"/>
      <c r="AF47" s="159"/>
      <c r="AG47" s="159"/>
      <c r="AH47" s="159"/>
      <c r="AI47" s="159"/>
      <c r="AJ47" s="159"/>
      <c r="AK47" s="159"/>
      <c r="AL47" s="159" t="str">
        <f>$B$47</f>
        <v>State Fiscal Year-To-Date (Jul 2019 - Jun 2020)</v>
      </c>
      <c r="AM47" s="43"/>
      <c r="AN47" s="43"/>
    </row>
    <row r="48" spans="1:40" ht="13.5" thickBot="1"/>
    <row r="49" spans="1:46" ht="18" customHeight="1" thickBot="1">
      <c r="A49" s="146" t="s">
        <v>199</v>
      </c>
      <c r="B49" s="150" t="s">
        <v>196</v>
      </c>
      <c r="C49" s="151"/>
      <c r="D49" s="152"/>
      <c r="E49" s="60" t="s">
        <v>197</v>
      </c>
      <c r="F49" s="147"/>
      <c r="G49" s="147"/>
      <c r="H49" s="147"/>
      <c r="I49" s="147"/>
      <c r="J49" s="147"/>
      <c r="K49" s="147"/>
      <c r="L49" s="147"/>
      <c r="M49" s="148"/>
      <c r="N49" s="150" t="s">
        <v>201</v>
      </c>
      <c r="O49" s="151"/>
      <c r="P49" s="152"/>
      <c r="Q49" s="60" t="s">
        <v>202</v>
      </c>
      <c r="R49" s="147"/>
      <c r="S49" s="147"/>
      <c r="T49" s="147"/>
      <c r="U49" s="147"/>
      <c r="V49" s="147"/>
      <c r="W49" s="147"/>
      <c r="X49" s="147"/>
      <c r="Y49" s="148"/>
      <c r="Z49" s="150" t="s">
        <v>203</v>
      </c>
      <c r="AA49" s="151"/>
      <c r="AB49" s="152"/>
      <c r="AC49" s="60" t="s">
        <v>204</v>
      </c>
      <c r="AD49" s="147"/>
      <c r="AE49" s="147"/>
      <c r="AF49" s="147"/>
      <c r="AG49" s="147"/>
      <c r="AH49" s="147"/>
      <c r="AI49" s="147"/>
      <c r="AJ49" s="147"/>
      <c r="AK49" s="148"/>
      <c r="AL49" s="150" t="s">
        <v>208</v>
      </c>
      <c r="AM49" s="151"/>
      <c r="AN49" s="152"/>
    </row>
    <row r="50" spans="1:46" s="34" customFormat="1" ht="18" customHeight="1" thickBot="1">
      <c r="A50" s="149" t="s">
        <v>200</v>
      </c>
      <c r="B50" s="150" t="s">
        <v>194</v>
      </c>
      <c r="C50" s="153"/>
      <c r="D50" s="154"/>
      <c r="E50" s="60" t="s">
        <v>141</v>
      </c>
      <c r="F50" s="61"/>
      <c r="G50" s="62"/>
      <c r="H50" s="60" t="s">
        <v>195</v>
      </c>
      <c r="I50" s="61"/>
      <c r="J50" s="62"/>
      <c r="K50" s="60" t="s">
        <v>198</v>
      </c>
      <c r="L50" s="61"/>
      <c r="M50" s="62"/>
      <c r="N50" s="150" t="s">
        <v>194</v>
      </c>
      <c r="O50" s="153"/>
      <c r="P50" s="154"/>
      <c r="Q50" s="60" t="s">
        <v>141</v>
      </c>
      <c r="R50" s="61"/>
      <c r="S50" s="62"/>
      <c r="T50" s="60" t="s">
        <v>195</v>
      </c>
      <c r="U50" s="61"/>
      <c r="V50" s="62"/>
      <c r="W50" s="60" t="s">
        <v>198</v>
      </c>
      <c r="X50" s="61"/>
      <c r="Y50" s="62"/>
      <c r="Z50" s="150" t="s">
        <v>194</v>
      </c>
      <c r="AA50" s="153"/>
      <c r="AB50" s="154"/>
      <c r="AC50" s="60" t="s">
        <v>141</v>
      </c>
      <c r="AD50" s="61"/>
      <c r="AE50" s="62"/>
      <c r="AF50" s="60" t="s">
        <v>195</v>
      </c>
      <c r="AG50" s="61"/>
      <c r="AH50" s="62"/>
      <c r="AI50" s="60" t="s">
        <v>198</v>
      </c>
      <c r="AJ50" s="61"/>
      <c r="AK50" s="62"/>
      <c r="AL50" s="150" t="s">
        <v>207</v>
      </c>
      <c r="AM50" s="153"/>
      <c r="AN50" s="154"/>
    </row>
    <row r="51" spans="1:46" s="34" customFormat="1" ht="13.5" thickBot="1">
      <c r="A51" s="30"/>
      <c r="B51" s="53" t="s">
        <v>3</v>
      </c>
      <c r="C51" s="54" t="s">
        <v>4</v>
      </c>
      <c r="D51" s="55" t="s">
        <v>5</v>
      </c>
      <c r="E51" s="53" t="s">
        <v>3</v>
      </c>
      <c r="F51" s="54" t="s">
        <v>4</v>
      </c>
      <c r="G51" s="55" t="s">
        <v>5</v>
      </c>
      <c r="H51" s="53" t="s">
        <v>3</v>
      </c>
      <c r="I51" s="54" t="s">
        <v>4</v>
      </c>
      <c r="J51" s="55" t="s">
        <v>5</v>
      </c>
      <c r="K51" s="53" t="s">
        <v>3</v>
      </c>
      <c r="L51" s="54" t="s">
        <v>4</v>
      </c>
      <c r="M51" s="55" t="s">
        <v>5</v>
      </c>
      <c r="N51" s="53" t="s">
        <v>3</v>
      </c>
      <c r="O51" s="54" t="s">
        <v>4</v>
      </c>
      <c r="P51" s="55" t="s">
        <v>5</v>
      </c>
      <c r="Q51" s="53" t="s">
        <v>3</v>
      </c>
      <c r="R51" s="54" t="s">
        <v>4</v>
      </c>
      <c r="S51" s="55" t="s">
        <v>5</v>
      </c>
      <c r="T51" s="53" t="s">
        <v>3</v>
      </c>
      <c r="U51" s="54" t="s">
        <v>4</v>
      </c>
      <c r="V51" s="55" t="s">
        <v>5</v>
      </c>
      <c r="W51" s="53" t="s">
        <v>3</v>
      </c>
      <c r="X51" s="54" t="s">
        <v>4</v>
      </c>
      <c r="Y51" s="55" t="s">
        <v>5</v>
      </c>
      <c r="Z51" s="53" t="s">
        <v>3</v>
      </c>
      <c r="AA51" s="54" t="s">
        <v>4</v>
      </c>
      <c r="AB51" s="55" t="s">
        <v>5</v>
      </c>
      <c r="AC51" s="53" t="s">
        <v>3</v>
      </c>
      <c r="AD51" s="54" t="s">
        <v>4</v>
      </c>
      <c r="AE51" s="55" t="s">
        <v>5</v>
      </c>
      <c r="AF51" s="53" t="s">
        <v>3</v>
      </c>
      <c r="AG51" s="54" t="s">
        <v>4</v>
      </c>
      <c r="AH51" s="55" t="s">
        <v>5</v>
      </c>
      <c r="AI51" s="53" t="s">
        <v>3</v>
      </c>
      <c r="AJ51" s="54" t="s">
        <v>4</v>
      </c>
      <c r="AK51" s="55" t="s">
        <v>5</v>
      </c>
      <c r="AL51" s="53" t="s">
        <v>3</v>
      </c>
      <c r="AM51" s="54" t="s">
        <v>4</v>
      </c>
      <c r="AN51" s="55" t="s">
        <v>5</v>
      </c>
      <c r="AO51" s="33"/>
      <c r="AP51" s="30"/>
      <c r="AQ51" s="30"/>
      <c r="AR51" s="30"/>
      <c r="AS51" s="30"/>
      <c r="AT51" s="30"/>
    </row>
    <row r="52" spans="1:46" ht="39.950000000000003" customHeight="1">
      <c r="A52" s="72" t="s">
        <v>38</v>
      </c>
      <c r="B52" s="155" t="s">
        <v>347</v>
      </c>
      <c r="C52" s="156" t="s">
        <v>37</v>
      </c>
      <c r="D52" s="157" t="s">
        <v>348</v>
      </c>
      <c r="E52" s="63" t="s">
        <v>347</v>
      </c>
      <c r="F52" s="64" t="s">
        <v>37</v>
      </c>
      <c r="G52" s="65" t="s">
        <v>348</v>
      </c>
      <c r="H52" s="63" t="s">
        <v>347</v>
      </c>
      <c r="I52" s="64" t="s">
        <v>37</v>
      </c>
      <c r="J52" s="65" t="s">
        <v>348</v>
      </c>
      <c r="K52" s="63" t="s">
        <v>347</v>
      </c>
      <c r="L52" s="64" t="s">
        <v>37</v>
      </c>
      <c r="M52" s="65" t="s">
        <v>348</v>
      </c>
      <c r="N52" s="155" t="s">
        <v>347</v>
      </c>
      <c r="O52" s="156" t="s">
        <v>37</v>
      </c>
      <c r="P52" s="157" t="s">
        <v>348</v>
      </c>
      <c r="Q52" s="63" t="s">
        <v>347</v>
      </c>
      <c r="R52" s="64" t="s">
        <v>37</v>
      </c>
      <c r="S52" s="65" t="s">
        <v>348</v>
      </c>
      <c r="T52" s="63" t="s">
        <v>347</v>
      </c>
      <c r="U52" s="64" t="s">
        <v>37</v>
      </c>
      <c r="V52" s="65" t="s">
        <v>348</v>
      </c>
      <c r="W52" s="63" t="s">
        <v>347</v>
      </c>
      <c r="X52" s="64" t="s">
        <v>37</v>
      </c>
      <c r="Y52" s="65" t="s">
        <v>348</v>
      </c>
      <c r="Z52" s="155" t="s">
        <v>347</v>
      </c>
      <c r="AA52" s="156" t="s">
        <v>37</v>
      </c>
      <c r="AB52" s="157" t="s">
        <v>348</v>
      </c>
      <c r="AC52" s="63" t="s">
        <v>347</v>
      </c>
      <c r="AD52" s="64" t="s">
        <v>37</v>
      </c>
      <c r="AE52" s="65" t="s">
        <v>348</v>
      </c>
      <c r="AF52" s="63" t="s">
        <v>347</v>
      </c>
      <c r="AG52" s="64" t="s">
        <v>37</v>
      </c>
      <c r="AH52" s="65" t="s">
        <v>348</v>
      </c>
      <c r="AI52" s="63" t="s">
        <v>347</v>
      </c>
      <c r="AJ52" s="64" t="s">
        <v>37</v>
      </c>
      <c r="AK52" s="65" t="s">
        <v>348</v>
      </c>
      <c r="AL52" s="155" t="s">
        <v>205</v>
      </c>
      <c r="AM52" s="156" t="s">
        <v>37</v>
      </c>
      <c r="AN52" s="157" t="s">
        <v>206</v>
      </c>
    </row>
    <row r="53" spans="1:46" ht="18" customHeight="1">
      <c r="A53" s="73" t="str">
        <f>IF($C$9="Data Not Entered On Set-Up Worksheet","",IF(OR(VLOOKUP($C$9,County_Lookup_MC,2,FALSE)="",VLOOKUP($C$9,County_Lookup_MC,2,FALSE)=0),"",VLOOKUP($C$9,County_Lookup_MC,2,FALSE)))</f>
        <v/>
      </c>
      <c r="B53" s="66"/>
      <c r="C53" s="58"/>
      <c r="D53" s="67" t="str">
        <f>IF($A53="","",IF(C53=0,0,B53/C53))</f>
        <v/>
      </c>
      <c r="E53" s="66"/>
      <c r="F53" s="58"/>
      <c r="G53" s="67" t="str">
        <f>IF($A53="","",IF(F53=0,0,E53/F53))</f>
        <v/>
      </c>
      <c r="H53" s="66"/>
      <c r="I53" s="58"/>
      <c r="J53" s="67" t="str">
        <f>IF($A53="","",IF(I53=0,0,H53/I53))</f>
        <v/>
      </c>
      <c r="K53" s="71" t="str">
        <f>IF($A53="","",SUM(E53,H53))</f>
        <v/>
      </c>
      <c r="L53" s="59" t="str">
        <f>IF($A53="","",SUM(F53,I53))</f>
        <v/>
      </c>
      <c r="M53" s="67" t="str">
        <f>IF($A53="","",IF(L53=0,0,K53/L53))</f>
        <v/>
      </c>
      <c r="N53" s="66"/>
      <c r="O53" s="58"/>
      <c r="P53" s="67" t="str">
        <f>IF($A53="","",IF(O53=0,0,N53/O53))</f>
        <v/>
      </c>
      <c r="Q53" s="66"/>
      <c r="R53" s="58"/>
      <c r="S53" s="67" t="str">
        <f>IF($A53="","",IF(R53=0,0,Q53/R53))</f>
        <v/>
      </c>
      <c r="T53" s="66"/>
      <c r="U53" s="58"/>
      <c r="V53" s="67" t="str">
        <f>IF($A53="","",IF(U53=0,0,T53/U53))</f>
        <v/>
      </c>
      <c r="W53" s="71" t="str">
        <f>IF($A53="","",SUM(Q53,T53))</f>
        <v/>
      </c>
      <c r="X53" s="59" t="str">
        <f>IF($A53="","",SUM(R53,U53))</f>
        <v/>
      </c>
      <c r="Y53" s="67" t="str">
        <f>IF($A53="","",IF(X53=0,0,W53/X53))</f>
        <v/>
      </c>
      <c r="Z53" s="66"/>
      <c r="AA53" s="58"/>
      <c r="AB53" s="67" t="str">
        <f>IF($A53="","",IF(AA53=0,0,Z53/AA53))</f>
        <v/>
      </c>
      <c r="AC53" s="66"/>
      <c r="AD53" s="58"/>
      <c r="AE53" s="67" t="str">
        <f>IF($A53="","",IF(AD53=0,0,AC53/AD53))</f>
        <v/>
      </c>
      <c r="AF53" s="66"/>
      <c r="AG53" s="58"/>
      <c r="AH53" s="67" t="str">
        <f>IF($A53="","",IF(AG53=0,0,AF53/AG53))</f>
        <v/>
      </c>
      <c r="AI53" s="71" t="str">
        <f>IF($A53="","",SUM(AC53,AF53))</f>
        <v/>
      </c>
      <c r="AJ53" s="59" t="str">
        <f>IF($A53="","",SUM(AD53,AG53))</f>
        <v/>
      </c>
      <c r="AK53" s="67" t="str">
        <f>IF($A53="","",IF(AJ53=0,0,AI53/AJ53))</f>
        <v/>
      </c>
      <c r="AL53" s="66"/>
      <c r="AM53" s="58"/>
      <c r="AN53" s="67" t="str">
        <f>IF($A53="","",IF(AM53=0,0,AL53/AM53))</f>
        <v/>
      </c>
    </row>
    <row r="54" spans="1:46" ht="18" customHeight="1">
      <c r="A54" s="74" t="str">
        <f>IF($C$9="Data Not Entered On Set-Up Worksheet","",IF(OR(VLOOKUP($C$9,County_Lookup_MC,3,FALSE)="",VLOOKUP($C$9,County_Lookup_MC,3,FALSE)=0),"",VLOOKUP($C$9,County_Lookup_MC,3,FALSE)))</f>
        <v/>
      </c>
      <c r="B54" s="66"/>
      <c r="C54" s="58"/>
      <c r="D54" s="67" t="str">
        <f t="shared" ref="D54:D78" si="54">IF($A54="","",IF(C54=0,0,B54/C54))</f>
        <v/>
      </c>
      <c r="E54" s="66"/>
      <c r="F54" s="58"/>
      <c r="G54" s="67" t="str">
        <f t="shared" ref="G54:G78" si="55">IF($A54="","",IF(F54=0,0,E54/F54))</f>
        <v/>
      </c>
      <c r="H54" s="66"/>
      <c r="I54" s="58"/>
      <c r="J54" s="67" t="str">
        <f t="shared" ref="J54:J78" si="56">IF($A54="","",IF(I54=0,0,H54/I54))</f>
        <v/>
      </c>
      <c r="K54" s="71" t="str">
        <f t="shared" ref="K54:K78" si="57">IF($A54="","",SUM(E54,H54))</f>
        <v/>
      </c>
      <c r="L54" s="59" t="str">
        <f t="shared" ref="L54:L78" si="58">IF($A54="","",SUM(F54,I54))</f>
        <v/>
      </c>
      <c r="M54" s="67" t="str">
        <f t="shared" ref="M54:M78" si="59">IF($A54="","",IF(L54=0,0,K54/L54))</f>
        <v/>
      </c>
      <c r="N54" s="66"/>
      <c r="O54" s="58"/>
      <c r="P54" s="67" t="str">
        <f t="shared" ref="P54:P78" si="60">IF($A54="","",IF(O54=0,0,N54/O54))</f>
        <v/>
      </c>
      <c r="Q54" s="66"/>
      <c r="R54" s="58"/>
      <c r="S54" s="67" t="str">
        <f t="shared" ref="S54:S78" si="61">IF($A54="","",IF(R54=0,0,Q54/R54))</f>
        <v/>
      </c>
      <c r="T54" s="66"/>
      <c r="U54" s="58"/>
      <c r="V54" s="67" t="str">
        <f t="shared" ref="V54:V78" si="62">IF($A54="","",IF(U54=0,0,T54/U54))</f>
        <v/>
      </c>
      <c r="W54" s="71" t="str">
        <f t="shared" ref="W54:W78" si="63">IF($A54="","",SUM(Q54,T54))</f>
        <v/>
      </c>
      <c r="X54" s="59" t="str">
        <f t="shared" ref="X54:X78" si="64">IF($A54="","",SUM(R54,U54))</f>
        <v/>
      </c>
      <c r="Y54" s="67" t="str">
        <f t="shared" ref="Y54:Y78" si="65">IF($A54="","",IF(X54=0,0,W54/X54))</f>
        <v/>
      </c>
      <c r="Z54" s="66"/>
      <c r="AA54" s="58"/>
      <c r="AB54" s="67" t="str">
        <f t="shared" ref="AB54:AB78" si="66">IF($A54="","",IF(AA54=0,0,Z54/AA54))</f>
        <v/>
      </c>
      <c r="AC54" s="66"/>
      <c r="AD54" s="58"/>
      <c r="AE54" s="67" t="str">
        <f t="shared" ref="AE54:AE78" si="67">IF($A54="","",IF(AD54=0,0,AC54/AD54))</f>
        <v/>
      </c>
      <c r="AF54" s="66"/>
      <c r="AG54" s="58"/>
      <c r="AH54" s="67" t="str">
        <f t="shared" ref="AH54:AH78" si="68">IF($A54="","",IF(AG54=0,0,AF54/AG54))</f>
        <v/>
      </c>
      <c r="AI54" s="71" t="str">
        <f t="shared" ref="AI54:AI78" si="69">IF($A54="","",SUM(AC54,AF54))</f>
        <v/>
      </c>
      <c r="AJ54" s="59" t="str">
        <f t="shared" ref="AJ54:AJ78" si="70">IF($A54="","",SUM(AD54,AG54))</f>
        <v/>
      </c>
      <c r="AK54" s="67" t="str">
        <f t="shared" ref="AK54:AK78" si="71">IF($A54="","",IF(AJ54=0,0,AI54/AJ54))</f>
        <v/>
      </c>
      <c r="AL54" s="66"/>
      <c r="AM54" s="58"/>
      <c r="AN54" s="67" t="str">
        <f t="shared" ref="AN54:AN78" si="72">IF($A54="","",IF(AM54=0,0,AL54/AM54))</f>
        <v/>
      </c>
    </row>
    <row r="55" spans="1:46" ht="18" customHeight="1">
      <c r="A55" s="74" t="str">
        <f>IF($C$9="Data Not Entered On Set-Up Worksheet","",IF(OR(VLOOKUP($C$9,County_Lookup_MC,4,FALSE)="",VLOOKUP($C$9,County_Lookup_MC,4,FALSE)=0),"",VLOOKUP($C$9,County_Lookup_MC,4,FALSE)))</f>
        <v/>
      </c>
      <c r="B55" s="66"/>
      <c r="C55" s="58"/>
      <c r="D55" s="67" t="str">
        <f t="shared" si="54"/>
        <v/>
      </c>
      <c r="E55" s="66"/>
      <c r="F55" s="58"/>
      <c r="G55" s="67" t="str">
        <f t="shared" si="55"/>
        <v/>
      </c>
      <c r="H55" s="66"/>
      <c r="I55" s="58"/>
      <c r="J55" s="67" t="str">
        <f t="shared" si="56"/>
        <v/>
      </c>
      <c r="K55" s="71" t="str">
        <f t="shared" si="57"/>
        <v/>
      </c>
      <c r="L55" s="59" t="str">
        <f t="shared" si="58"/>
        <v/>
      </c>
      <c r="M55" s="67" t="str">
        <f t="shared" si="59"/>
        <v/>
      </c>
      <c r="N55" s="66"/>
      <c r="O55" s="58"/>
      <c r="P55" s="67" t="str">
        <f t="shared" si="60"/>
        <v/>
      </c>
      <c r="Q55" s="66"/>
      <c r="R55" s="58"/>
      <c r="S55" s="67" t="str">
        <f t="shared" si="61"/>
        <v/>
      </c>
      <c r="T55" s="66"/>
      <c r="U55" s="58"/>
      <c r="V55" s="67" t="str">
        <f t="shared" si="62"/>
        <v/>
      </c>
      <c r="W55" s="71" t="str">
        <f t="shared" si="63"/>
        <v/>
      </c>
      <c r="X55" s="59" t="str">
        <f t="shared" si="64"/>
        <v/>
      </c>
      <c r="Y55" s="67" t="str">
        <f t="shared" si="65"/>
        <v/>
      </c>
      <c r="Z55" s="66"/>
      <c r="AA55" s="58"/>
      <c r="AB55" s="67" t="str">
        <f t="shared" si="66"/>
        <v/>
      </c>
      <c r="AC55" s="66"/>
      <c r="AD55" s="58"/>
      <c r="AE55" s="67" t="str">
        <f t="shared" si="67"/>
        <v/>
      </c>
      <c r="AF55" s="66"/>
      <c r="AG55" s="58"/>
      <c r="AH55" s="67" t="str">
        <f t="shared" si="68"/>
        <v/>
      </c>
      <c r="AI55" s="71" t="str">
        <f t="shared" si="69"/>
        <v/>
      </c>
      <c r="AJ55" s="59" t="str">
        <f t="shared" si="70"/>
        <v/>
      </c>
      <c r="AK55" s="67" t="str">
        <f t="shared" si="71"/>
        <v/>
      </c>
      <c r="AL55" s="66"/>
      <c r="AM55" s="58"/>
      <c r="AN55" s="67" t="str">
        <f t="shared" si="72"/>
        <v/>
      </c>
    </row>
    <row r="56" spans="1:46" ht="18" customHeight="1">
      <c r="A56" s="74" t="str">
        <f>IF($C$9="Data Not Entered On Set-Up Worksheet","",IF(OR(VLOOKUP($C$9,County_Lookup_MC,5,FALSE)="",VLOOKUP($C$9,County_Lookup_MC,5,FALSE)=0),"",VLOOKUP($C$9,County_Lookup_MC,5,FALSE)))</f>
        <v/>
      </c>
      <c r="B56" s="66"/>
      <c r="C56" s="58"/>
      <c r="D56" s="67" t="str">
        <f t="shared" si="54"/>
        <v/>
      </c>
      <c r="E56" s="66"/>
      <c r="F56" s="58"/>
      <c r="G56" s="67" t="str">
        <f t="shared" si="55"/>
        <v/>
      </c>
      <c r="H56" s="66"/>
      <c r="I56" s="58"/>
      <c r="J56" s="67" t="str">
        <f t="shared" si="56"/>
        <v/>
      </c>
      <c r="K56" s="71" t="str">
        <f t="shared" si="57"/>
        <v/>
      </c>
      <c r="L56" s="59" t="str">
        <f t="shared" si="58"/>
        <v/>
      </c>
      <c r="M56" s="67" t="str">
        <f t="shared" si="59"/>
        <v/>
      </c>
      <c r="N56" s="66"/>
      <c r="O56" s="58"/>
      <c r="P56" s="67" t="str">
        <f t="shared" si="60"/>
        <v/>
      </c>
      <c r="Q56" s="66"/>
      <c r="R56" s="58"/>
      <c r="S56" s="67" t="str">
        <f t="shared" si="61"/>
        <v/>
      </c>
      <c r="T56" s="66"/>
      <c r="U56" s="58"/>
      <c r="V56" s="67" t="str">
        <f t="shared" si="62"/>
        <v/>
      </c>
      <c r="W56" s="71" t="str">
        <f t="shared" si="63"/>
        <v/>
      </c>
      <c r="X56" s="59" t="str">
        <f t="shared" si="64"/>
        <v/>
      </c>
      <c r="Y56" s="67" t="str">
        <f t="shared" si="65"/>
        <v/>
      </c>
      <c r="Z56" s="66"/>
      <c r="AA56" s="58"/>
      <c r="AB56" s="67" t="str">
        <f t="shared" si="66"/>
        <v/>
      </c>
      <c r="AC56" s="66"/>
      <c r="AD56" s="58"/>
      <c r="AE56" s="67" t="str">
        <f t="shared" si="67"/>
        <v/>
      </c>
      <c r="AF56" s="66"/>
      <c r="AG56" s="58"/>
      <c r="AH56" s="67" t="str">
        <f t="shared" si="68"/>
        <v/>
      </c>
      <c r="AI56" s="71" t="str">
        <f t="shared" si="69"/>
        <v/>
      </c>
      <c r="AJ56" s="59" t="str">
        <f t="shared" si="70"/>
        <v/>
      </c>
      <c r="AK56" s="67" t="str">
        <f t="shared" si="71"/>
        <v/>
      </c>
      <c r="AL56" s="66"/>
      <c r="AM56" s="58"/>
      <c r="AN56" s="67" t="str">
        <f t="shared" si="72"/>
        <v/>
      </c>
    </row>
    <row r="57" spans="1:46" ht="18" customHeight="1">
      <c r="A57" s="74" t="str">
        <f>IF($C$9="Data Not Entered On Set-Up Worksheet","",IF(OR(VLOOKUP($C$9,County_Lookup_MC,6,FALSE)="",VLOOKUP($C$9,County_Lookup_MC,6,FALSE)=0),"",VLOOKUP($C$9,County_Lookup_MC,6,FALSE)))</f>
        <v/>
      </c>
      <c r="B57" s="66"/>
      <c r="C57" s="58"/>
      <c r="D57" s="67" t="str">
        <f t="shared" si="54"/>
        <v/>
      </c>
      <c r="E57" s="66"/>
      <c r="F57" s="58"/>
      <c r="G57" s="67" t="str">
        <f t="shared" si="55"/>
        <v/>
      </c>
      <c r="H57" s="66"/>
      <c r="I57" s="58"/>
      <c r="J57" s="67" t="str">
        <f t="shared" si="56"/>
        <v/>
      </c>
      <c r="K57" s="71" t="str">
        <f t="shared" si="57"/>
        <v/>
      </c>
      <c r="L57" s="59" t="str">
        <f t="shared" si="58"/>
        <v/>
      </c>
      <c r="M57" s="67" t="str">
        <f t="shared" si="59"/>
        <v/>
      </c>
      <c r="N57" s="66"/>
      <c r="O57" s="58"/>
      <c r="P57" s="67" t="str">
        <f t="shared" si="60"/>
        <v/>
      </c>
      <c r="Q57" s="66"/>
      <c r="R57" s="58"/>
      <c r="S57" s="67" t="str">
        <f t="shared" si="61"/>
        <v/>
      </c>
      <c r="T57" s="66"/>
      <c r="U57" s="58"/>
      <c r="V57" s="67" t="str">
        <f t="shared" si="62"/>
        <v/>
      </c>
      <c r="W57" s="71" t="str">
        <f t="shared" si="63"/>
        <v/>
      </c>
      <c r="X57" s="59" t="str">
        <f t="shared" si="64"/>
        <v/>
      </c>
      <c r="Y57" s="67" t="str">
        <f t="shared" si="65"/>
        <v/>
      </c>
      <c r="Z57" s="66"/>
      <c r="AA57" s="58"/>
      <c r="AB57" s="67" t="str">
        <f t="shared" si="66"/>
        <v/>
      </c>
      <c r="AC57" s="66"/>
      <c r="AD57" s="58"/>
      <c r="AE57" s="67" t="str">
        <f t="shared" si="67"/>
        <v/>
      </c>
      <c r="AF57" s="66"/>
      <c r="AG57" s="58"/>
      <c r="AH57" s="67" t="str">
        <f t="shared" si="68"/>
        <v/>
      </c>
      <c r="AI57" s="71" t="str">
        <f t="shared" si="69"/>
        <v/>
      </c>
      <c r="AJ57" s="59" t="str">
        <f t="shared" si="70"/>
        <v/>
      </c>
      <c r="AK57" s="67" t="str">
        <f t="shared" si="71"/>
        <v/>
      </c>
      <c r="AL57" s="66"/>
      <c r="AM57" s="58"/>
      <c r="AN57" s="67" t="str">
        <f t="shared" si="72"/>
        <v/>
      </c>
    </row>
    <row r="58" spans="1:46" ht="18" customHeight="1">
      <c r="A58" s="74" t="str">
        <f>IF($C$9="Data Not Entered On Set-Up Worksheet","",IF(OR(VLOOKUP($C$9,County_Lookup_MC,7,FALSE)="",VLOOKUP($C$9,County_Lookup_MC,7,FALSE)=0),"",VLOOKUP($C$9,County_Lookup_MC,7,FALSE)))</f>
        <v/>
      </c>
      <c r="B58" s="66"/>
      <c r="C58" s="58"/>
      <c r="D58" s="67" t="str">
        <f t="shared" si="54"/>
        <v/>
      </c>
      <c r="E58" s="66"/>
      <c r="F58" s="58"/>
      <c r="G58" s="67" t="str">
        <f t="shared" si="55"/>
        <v/>
      </c>
      <c r="H58" s="66"/>
      <c r="I58" s="58"/>
      <c r="J58" s="67" t="str">
        <f t="shared" si="56"/>
        <v/>
      </c>
      <c r="K58" s="71" t="str">
        <f t="shared" si="57"/>
        <v/>
      </c>
      <c r="L58" s="59" t="str">
        <f t="shared" si="58"/>
        <v/>
      </c>
      <c r="M58" s="67" t="str">
        <f t="shared" si="59"/>
        <v/>
      </c>
      <c r="N58" s="66"/>
      <c r="O58" s="58"/>
      <c r="P58" s="67" t="str">
        <f t="shared" si="60"/>
        <v/>
      </c>
      <c r="Q58" s="66"/>
      <c r="R58" s="58"/>
      <c r="S58" s="67" t="str">
        <f t="shared" si="61"/>
        <v/>
      </c>
      <c r="T58" s="66"/>
      <c r="U58" s="58"/>
      <c r="V58" s="67" t="str">
        <f t="shared" si="62"/>
        <v/>
      </c>
      <c r="W58" s="71" t="str">
        <f t="shared" si="63"/>
        <v/>
      </c>
      <c r="X58" s="59" t="str">
        <f t="shared" si="64"/>
        <v/>
      </c>
      <c r="Y58" s="67" t="str">
        <f t="shared" si="65"/>
        <v/>
      </c>
      <c r="Z58" s="66"/>
      <c r="AA58" s="58"/>
      <c r="AB58" s="67" t="str">
        <f t="shared" si="66"/>
        <v/>
      </c>
      <c r="AC58" s="66"/>
      <c r="AD58" s="58"/>
      <c r="AE58" s="67" t="str">
        <f t="shared" si="67"/>
        <v/>
      </c>
      <c r="AF58" s="66"/>
      <c r="AG58" s="58"/>
      <c r="AH58" s="67" t="str">
        <f t="shared" si="68"/>
        <v/>
      </c>
      <c r="AI58" s="71" t="str">
        <f t="shared" si="69"/>
        <v/>
      </c>
      <c r="AJ58" s="59" t="str">
        <f t="shared" si="70"/>
        <v/>
      </c>
      <c r="AK58" s="67" t="str">
        <f t="shared" si="71"/>
        <v/>
      </c>
      <c r="AL58" s="66"/>
      <c r="AM58" s="58"/>
      <c r="AN58" s="67" t="str">
        <f t="shared" si="72"/>
        <v/>
      </c>
    </row>
    <row r="59" spans="1:46" ht="18" customHeight="1">
      <c r="A59" s="73" t="str">
        <f>IF($C$9="Data Not Entered On Set-Up Worksheet","",IF(OR(VLOOKUP($C$9,County_Lookup_MC,8,FALSE)="",VLOOKUP($C$9,County_Lookup_MC,8,FALSE)=0),"",VLOOKUP($C$9,County_Lookup_MC,8,FALSE)))</f>
        <v/>
      </c>
      <c r="B59" s="66"/>
      <c r="C59" s="58"/>
      <c r="D59" s="67" t="str">
        <f t="shared" si="54"/>
        <v/>
      </c>
      <c r="E59" s="66"/>
      <c r="F59" s="58"/>
      <c r="G59" s="67" t="str">
        <f t="shared" si="55"/>
        <v/>
      </c>
      <c r="H59" s="66"/>
      <c r="I59" s="58"/>
      <c r="J59" s="67" t="str">
        <f t="shared" si="56"/>
        <v/>
      </c>
      <c r="K59" s="71" t="str">
        <f t="shared" si="57"/>
        <v/>
      </c>
      <c r="L59" s="59" t="str">
        <f t="shared" si="58"/>
        <v/>
      </c>
      <c r="M59" s="67" t="str">
        <f t="shared" si="59"/>
        <v/>
      </c>
      <c r="N59" s="66"/>
      <c r="O59" s="58"/>
      <c r="P59" s="67" t="str">
        <f t="shared" si="60"/>
        <v/>
      </c>
      <c r="Q59" s="66"/>
      <c r="R59" s="58"/>
      <c r="S59" s="67" t="str">
        <f t="shared" si="61"/>
        <v/>
      </c>
      <c r="T59" s="66"/>
      <c r="U59" s="58"/>
      <c r="V59" s="67" t="str">
        <f t="shared" si="62"/>
        <v/>
      </c>
      <c r="W59" s="71" t="str">
        <f t="shared" si="63"/>
        <v/>
      </c>
      <c r="X59" s="59" t="str">
        <f t="shared" si="64"/>
        <v/>
      </c>
      <c r="Y59" s="67" t="str">
        <f t="shared" si="65"/>
        <v/>
      </c>
      <c r="Z59" s="66"/>
      <c r="AA59" s="58"/>
      <c r="AB59" s="67" t="str">
        <f t="shared" si="66"/>
        <v/>
      </c>
      <c r="AC59" s="66"/>
      <c r="AD59" s="58"/>
      <c r="AE59" s="67" t="str">
        <f t="shared" si="67"/>
        <v/>
      </c>
      <c r="AF59" s="66"/>
      <c r="AG59" s="58"/>
      <c r="AH59" s="67" t="str">
        <f t="shared" si="68"/>
        <v/>
      </c>
      <c r="AI59" s="71" t="str">
        <f t="shared" si="69"/>
        <v/>
      </c>
      <c r="AJ59" s="59" t="str">
        <f t="shared" si="70"/>
        <v/>
      </c>
      <c r="AK59" s="67" t="str">
        <f t="shared" si="71"/>
        <v/>
      </c>
      <c r="AL59" s="66"/>
      <c r="AM59" s="58"/>
      <c r="AN59" s="67" t="str">
        <f t="shared" si="72"/>
        <v/>
      </c>
    </row>
    <row r="60" spans="1:46" ht="18" customHeight="1">
      <c r="A60" s="74" t="str">
        <f>IF($C$9="Data Not Entered On Set-Up Worksheet","",IF(OR(VLOOKUP($C$9,County_Lookup_MC,9,FALSE)="",VLOOKUP($C$9,County_Lookup_MC,9,FALSE)=0),"",VLOOKUP($C$9,County_Lookup_MC,9,FALSE)))</f>
        <v/>
      </c>
      <c r="B60" s="66"/>
      <c r="C60" s="58"/>
      <c r="D60" s="67" t="str">
        <f t="shared" si="54"/>
        <v/>
      </c>
      <c r="E60" s="66"/>
      <c r="F60" s="58"/>
      <c r="G60" s="67" t="str">
        <f t="shared" si="55"/>
        <v/>
      </c>
      <c r="H60" s="66"/>
      <c r="I60" s="58"/>
      <c r="J60" s="67" t="str">
        <f t="shared" si="56"/>
        <v/>
      </c>
      <c r="K60" s="71" t="str">
        <f t="shared" si="57"/>
        <v/>
      </c>
      <c r="L60" s="59" t="str">
        <f t="shared" si="58"/>
        <v/>
      </c>
      <c r="M60" s="67" t="str">
        <f t="shared" si="59"/>
        <v/>
      </c>
      <c r="N60" s="66"/>
      <c r="O60" s="58"/>
      <c r="P60" s="67" t="str">
        <f t="shared" si="60"/>
        <v/>
      </c>
      <c r="Q60" s="66"/>
      <c r="R60" s="58"/>
      <c r="S60" s="67" t="str">
        <f t="shared" si="61"/>
        <v/>
      </c>
      <c r="T60" s="66"/>
      <c r="U60" s="58"/>
      <c r="V60" s="67" t="str">
        <f t="shared" si="62"/>
        <v/>
      </c>
      <c r="W60" s="71" t="str">
        <f t="shared" si="63"/>
        <v/>
      </c>
      <c r="X60" s="59" t="str">
        <f t="shared" si="64"/>
        <v/>
      </c>
      <c r="Y60" s="67" t="str">
        <f t="shared" si="65"/>
        <v/>
      </c>
      <c r="Z60" s="66"/>
      <c r="AA60" s="58"/>
      <c r="AB60" s="67" t="str">
        <f t="shared" si="66"/>
        <v/>
      </c>
      <c r="AC60" s="66"/>
      <c r="AD60" s="58"/>
      <c r="AE60" s="67" t="str">
        <f t="shared" si="67"/>
        <v/>
      </c>
      <c r="AF60" s="66"/>
      <c r="AG60" s="58"/>
      <c r="AH60" s="67" t="str">
        <f t="shared" si="68"/>
        <v/>
      </c>
      <c r="AI60" s="71" t="str">
        <f t="shared" si="69"/>
        <v/>
      </c>
      <c r="AJ60" s="59" t="str">
        <f t="shared" si="70"/>
        <v/>
      </c>
      <c r="AK60" s="67" t="str">
        <f t="shared" si="71"/>
        <v/>
      </c>
      <c r="AL60" s="66"/>
      <c r="AM60" s="58"/>
      <c r="AN60" s="67" t="str">
        <f t="shared" si="72"/>
        <v/>
      </c>
    </row>
    <row r="61" spans="1:46" ht="18" customHeight="1">
      <c r="A61" s="74" t="str">
        <f>IF($C$9="Data Not Entered On Set-Up Worksheet","",IF(OR(VLOOKUP($C$9,County_Lookup_MC,10,FALSE)="",VLOOKUP($C$9,County_Lookup_MC,10,FALSE)=0),"",VLOOKUP($C$9,County_Lookup_MC,10,FALSE)))</f>
        <v/>
      </c>
      <c r="B61" s="66"/>
      <c r="C61" s="58"/>
      <c r="D61" s="67" t="str">
        <f t="shared" si="54"/>
        <v/>
      </c>
      <c r="E61" s="66"/>
      <c r="F61" s="58"/>
      <c r="G61" s="67" t="str">
        <f t="shared" si="55"/>
        <v/>
      </c>
      <c r="H61" s="66"/>
      <c r="I61" s="58"/>
      <c r="J61" s="67" t="str">
        <f t="shared" si="56"/>
        <v/>
      </c>
      <c r="K61" s="71" t="str">
        <f t="shared" si="57"/>
        <v/>
      </c>
      <c r="L61" s="59" t="str">
        <f t="shared" si="58"/>
        <v/>
      </c>
      <c r="M61" s="67" t="str">
        <f t="shared" si="59"/>
        <v/>
      </c>
      <c r="N61" s="66"/>
      <c r="O61" s="58"/>
      <c r="P61" s="67" t="str">
        <f t="shared" si="60"/>
        <v/>
      </c>
      <c r="Q61" s="66"/>
      <c r="R61" s="58"/>
      <c r="S61" s="67" t="str">
        <f t="shared" si="61"/>
        <v/>
      </c>
      <c r="T61" s="66"/>
      <c r="U61" s="58"/>
      <c r="V61" s="67" t="str">
        <f t="shared" si="62"/>
        <v/>
      </c>
      <c r="W61" s="71" t="str">
        <f t="shared" si="63"/>
        <v/>
      </c>
      <c r="X61" s="59" t="str">
        <f t="shared" si="64"/>
        <v/>
      </c>
      <c r="Y61" s="67" t="str">
        <f t="shared" si="65"/>
        <v/>
      </c>
      <c r="Z61" s="66"/>
      <c r="AA61" s="58"/>
      <c r="AB61" s="67" t="str">
        <f t="shared" si="66"/>
        <v/>
      </c>
      <c r="AC61" s="66"/>
      <c r="AD61" s="58"/>
      <c r="AE61" s="67" t="str">
        <f t="shared" si="67"/>
        <v/>
      </c>
      <c r="AF61" s="66"/>
      <c r="AG61" s="58"/>
      <c r="AH61" s="67" t="str">
        <f t="shared" si="68"/>
        <v/>
      </c>
      <c r="AI61" s="71" t="str">
        <f t="shared" si="69"/>
        <v/>
      </c>
      <c r="AJ61" s="59" t="str">
        <f t="shared" si="70"/>
        <v/>
      </c>
      <c r="AK61" s="67" t="str">
        <f t="shared" si="71"/>
        <v/>
      </c>
      <c r="AL61" s="66"/>
      <c r="AM61" s="58"/>
      <c r="AN61" s="67" t="str">
        <f t="shared" si="72"/>
        <v/>
      </c>
    </row>
    <row r="62" spans="1:46" ht="18" customHeight="1">
      <c r="A62" s="74" t="str">
        <f>IF($C$9="Data Not Entered On Set-Up Worksheet","",IF(OR(VLOOKUP($C$9,County_Lookup_MC,11,FALSE)="",VLOOKUP($C$9,County_Lookup_MC,11,FALSE)=0),"",VLOOKUP($C$9,County_Lookup_MC,11,FALSE)))</f>
        <v/>
      </c>
      <c r="B62" s="66"/>
      <c r="C62" s="58"/>
      <c r="D62" s="67" t="str">
        <f t="shared" si="54"/>
        <v/>
      </c>
      <c r="E62" s="66"/>
      <c r="F62" s="58"/>
      <c r="G62" s="67" t="str">
        <f t="shared" si="55"/>
        <v/>
      </c>
      <c r="H62" s="66"/>
      <c r="I62" s="58"/>
      <c r="J62" s="67" t="str">
        <f t="shared" si="56"/>
        <v/>
      </c>
      <c r="K62" s="71" t="str">
        <f t="shared" si="57"/>
        <v/>
      </c>
      <c r="L62" s="59" t="str">
        <f t="shared" si="58"/>
        <v/>
      </c>
      <c r="M62" s="67" t="str">
        <f t="shared" si="59"/>
        <v/>
      </c>
      <c r="N62" s="66"/>
      <c r="O62" s="58"/>
      <c r="P62" s="67" t="str">
        <f t="shared" si="60"/>
        <v/>
      </c>
      <c r="Q62" s="66"/>
      <c r="R62" s="58"/>
      <c r="S62" s="67" t="str">
        <f t="shared" si="61"/>
        <v/>
      </c>
      <c r="T62" s="66"/>
      <c r="U62" s="58"/>
      <c r="V62" s="67" t="str">
        <f t="shared" si="62"/>
        <v/>
      </c>
      <c r="W62" s="71" t="str">
        <f t="shared" si="63"/>
        <v/>
      </c>
      <c r="X62" s="59" t="str">
        <f t="shared" si="64"/>
        <v/>
      </c>
      <c r="Y62" s="67" t="str">
        <f t="shared" si="65"/>
        <v/>
      </c>
      <c r="Z62" s="66"/>
      <c r="AA62" s="58"/>
      <c r="AB62" s="67" t="str">
        <f t="shared" si="66"/>
        <v/>
      </c>
      <c r="AC62" s="66"/>
      <c r="AD62" s="58"/>
      <c r="AE62" s="67" t="str">
        <f t="shared" si="67"/>
        <v/>
      </c>
      <c r="AF62" s="66"/>
      <c r="AG62" s="58"/>
      <c r="AH62" s="67" t="str">
        <f t="shared" si="68"/>
        <v/>
      </c>
      <c r="AI62" s="71" t="str">
        <f t="shared" si="69"/>
        <v/>
      </c>
      <c r="AJ62" s="59" t="str">
        <f t="shared" si="70"/>
        <v/>
      </c>
      <c r="AK62" s="67" t="str">
        <f t="shared" si="71"/>
        <v/>
      </c>
      <c r="AL62" s="66"/>
      <c r="AM62" s="58"/>
      <c r="AN62" s="67" t="str">
        <f t="shared" si="72"/>
        <v/>
      </c>
    </row>
    <row r="63" spans="1:46" ht="18" customHeight="1">
      <c r="A63" s="74" t="str">
        <f>IF($C$9="Data Not Entered On Set-Up Worksheet","",IF(OR(VLOOKUP($C$9,County_Lookup_MC,12,FALSE)="",VLOOKUP($C$9,County_Lookup_MC,12,FALSE)=0),"",VLOOKUP($C$9,County_Lookup_MC,12,FALSE)))</f>
        <v/>
      </c>
      <c r="B63" s="66"/>
      <c r="C63" s="58"/>
      <c r="D63" s="67" t="str">
        <f t="shared" si="54"/>
        <v/>
      </c>
      <c r="E63" s="66"/>
      <c r="F63" s="58"/>
      <c r="G63" s="67" t="str">
        <f t="shared" si="55"/>
        <v/>
      </c>
      <c r="H63" s="66"/>
      <c r="I63" s="58"/>
      <c r="J63" s="67" t="str">
        <f t="shared" si="56"/>
        <v/>
      </c>
      <c r="K63" s="71" t="str">
        <f t="shared" si="57"/>
        <v/>
      </c>
      <c r="L63" s="59" t="str">
        <f t="shared" si="58"/>
        <v/>
      </c>
      <c r="M63" s="67" t="str">
        <f t="shared" si="59"/>
        <v/>
      </c>
      <c r="N63" s="66"/>
      <c r="O63" s="58"/>
      <c r="P63" s="67" t="str">
        <f t="shared" si="60"/>
        <v/>
      </c>
      <c r="Q63" s="66"/>
      <c r="R63" s="58"/>
      <c r="S63" s="67" t="str">
        <f t="shared" si="61"/>
        <v/>
      </c>
      <c r="T63" s="66"/>
      <c r="U63" s="58"/>
      <c r="V63" s="67" t="str">
        <f t="shared" si="62"/>
        <v/>
      </c>
      <c r="W63" s="71" t="str">
        <f t="shared" si="63"/>
        <v/>
      </c>
      <c r="X63" s="59" t="str">
        <f t="shared" si="64"/>
        <v/>
      </c>
      <c r="Y63" s="67" t="str">
        <f t="shared" si="65"/>
        <v/>
      </c>
      <c r="Z63" s="66"/>
      <c r="AA63" s="58"/>
      <c r="AB63" s="67" t="str">
        <f t="shared" si="66"/>
        <v/>
      </c>
      <c r="AC63" s="66"/>
      <c r="AD63" s="58"/>
      <c r="AE63" s="67" t="str">
        <f t="shared" si="67"/>
        <v/>
      </c>
      <c r="AF63" s="66"/>
      <c r="AG63" s="58"/>
      <c r="AH63" s="67" t="str">
        <f t="shared" si="68"/>
        <v/>
      </c>
      <c r="AI63" s="71" t="str">
        <f t="shared" si="69"/>
        <v/>
      </c>
      <c r="AJ63" s="59" t="str">
        <f t="shared" si="70"/>
        <v/>
      </c>
      <c r="AK63" s="67" t="str">
        <f t="shared" si="71"/>
        <v/>
      </c>
      <c r="AL63" s="66"/>
      <c r="AM63" s="58"/>
      <c r="AN63" s="67" t="str">
        <f t="shared" si="72"/>
        <v/>
      </c>
    </row>
    <row r="64" spans="1:46" ht="18" customHeight="1">
      <c r="A64" s="74" t="str">
        <f>IF($C$9="Data Not Entered On Set-Up Worksheet","",IF(OR(VLOOKUP($C$9,County_Lookup_MC,13,FALSE)="",VLOOKUP($C$9,County_Lookup_MC,13,FALSE)=0),"",VLOOKUP($C$9,County_Lookup_MC,13,FALSE)))</f>
        <v/>
      </c>
      <c r="B64" s="66"/>
      <c r="C64" s="58"/>
      <c r="D64" s="67" t="str">
        <f t="shared" si="54"/>
        <v/>
      </c>
      <c r="E64" s="66"/>
      <c r="F64" s="58"/>
      <c r="G64" s="67" t="str">
        <f t="shared" si="55"/>
        <v/>
      </c>
      <c r="H64" s="66"/>
      <c r="I64" s="58"/>
      <c r="J64" s="67" t="str">
        <f t="shared" si="56"/>
        <v/>
      </c>
      <c r="K64" s="71" t="str">
        <f t="shared" si="57"/>
        <v/>
      </c>
      <c r="L64" s="59" t="str">
        <f t="shared" si="58"/>
        <v/>
      </c>
      <c r="M64" s="67" t="str">
        <f t="shared" si="59"/>
        <v/>
      </c>
      <c r="N64" s="66"/>
      <c r="O64" s="58"/>
      <c r="P64" s="67" t="str">
        <f t="shared" si="60"/>
        <v/>
      </c>
      <c r="Q64" s="66"/>
      <c r="R64" s="58"/>
      <c r="S64" s="67" t="str">
        <f t="shared" si="61"/>
        <v/>
      </c>
      <c r="T64" s="66"/>
      <c r="U64" s="58"/>
      <c r="V64" s="67" t="str">
        <f t="shared" si="62"/>
        <v/>
      </c>
      <c r="W64" s="71" t="str">
        <f t="shared" si="63"/>
        <v/>
      </c>
      <c r="X64" s="59" t="str">
        <f t="shared" si="64"/>
        <v/>
      </c>
      <c r="Y64" s="67" t="str">
        <f t="shared" si="65"/>
        <v/>
      </c>
      <c r="Z64" s="66"/>
      <c r="AA64" s="58"/>
      <c r="AB64" s="67" t="str">
        <f t="shared" si="66"/>
        <v/>
      </c>
      <c r="AC64" s="66"/>
      <c r="AD64" s="58"/>
      <c r="AE64" s="67" t="str">
        <f t="shared" si="67"/>
        <v/>
      </c>
      <c r="AF64" s="66"/>
      <c r="AG64" s="58"/>
      <c r="AH64" s="67" t="str">
        <f t="shared" si="68"/>
        <v/>
      </c>
      <c r="AI64" s="71" t="str">
        <f t="shared" si="69"/>
        <v/>
      </c>
      <c r="AJ64" s="59" t="str">
        <f t="shared" si="70"/>
        <v/>
      </c>
      <c r="AK64" s="67" t="str">
        <f t="shared" si="71"/>
        <v/>
      </c>
      <c r="AL64" s="66"/>
      <c r="AM64" s="58"/>
      <c r="AN64" s="67" t="str">
        <f t="shared" si="72"/>
        <v/>
      </c>
    </row>
    <row r="65" spans="1:40" ht="18" customHeight="1">
      <c r="A65" s="74" t="str">
        <f>IF($C$9="Data Not Entered On Set-Up Worksheet","",IF(OR(VLOOKUP($C$9,County_Lookup_MC,14,FALSE)="",VLOOKUP($C$9,County_Lookup_MC,14,FALSE)=0),"",VLOOKUP($C$9,County_Lookup_MC,14,FALSE)))</f>
        <v/>
      </c>
      <c r="B65" s="66"/>
      <c r="C65" s="58"/>
      <c r="D65" s="67" t="str">
        <f t="shared" si="54"/>
        <v/>
      </c>
      <c r="E65" s="66"/>
      <c r="F65" s="58"/>
      <c r="G65" s="67" t="str">
        <f t="shared" si="55"/>
        <v/>
      </c>
      <c r="H65" s="66"/>
      <c r="I65" s="58"/>
      <c r="J65" s="67" t="str">
        <f t="shared" si="56"/>
        <v/>
      </c>
      <c r="K65" s="71" t="str">
        <f t="shared" si="57"/>
        <v/>
      </c>
      <c r="L65" s="59" t="str">
        <f t="shared" si="58"/>
        <v/>
      </c>
      <c r="M65" s="67" t="str">
        <f t="shared" si="59"/>
        <v/>
      </c>
      <c r="N65" s="66"/>
      <c r="O65" s="58"/>
      <c r="P65" s="67" t="str">
        <f t="shared" si="60"/>
        <v/>
      </c>
      <c r="Q65" s="66"/>
      <c r="R65" s="58"/>
      <c r="S65" s="67" t="str">
        <f t="shared" si="61"/>
        <v/>
      </c>
      <c r="T65" s="66"/>
      <c r="U65" s="58"/>
      <c r="V65" s="67" t="str">
        <f t="shared" si="62"/>
        <v/>
      </c>
      <c r="W65" s="71" t="str">
        <f t="shared" si="63"/>
        <v/>
      </c>
      <c r="X65" s="59" t="str">
        <f t="shared" si="64"/>
        <v/>
      </c>
      <c r="Y65" s="67" t="str">
        <f t="shared" si="65"/>
        <v/>
      </c>
      <c r="Z65" s="66"/>
      <c r="AA65" s="58"/>
      <c r="AB65" s="67" t="str">
        <f t="shared" si="66"/>
        <v/>
      </c>
      <c r="AC65" s="66"/>
      <c r="AD65" s="58"/>
      <c r="AE65" s="67" t="str">
        <f t="shared" si="67"/>
        <v/>
      </c>
      <c r="AF65" s="66"/>
      <c r="AG65" s="58"/>
      <c r="AH65" s="67" t="str">
        <f t="shared" si="68"/>
        <v/>
      </c>
      <c r="AI65" s="71" t="str">
        <f t="shared" si="69"/>
        <v/>
      </c>
      <c r="AJ65" s="59" t="str">
        <f t="shared" si="70"/>
        <v/>
      </c>
      <c r="AK65" s="67" t="str">
        <f t="shared" si="71"/>
        <v/>
      </c>
      <c r="AL65" s="66"/>
      <c r="AM65" s="58"/>
      <c r="AN65" s="67" t="str">
        <f t="shared" si="72"/>
        <v/>
      </c>
    </row>
    <row r="66" spans="1:40" ht="18" customHeight="1">
      <c r="A66" s="73" t="str">
        <f>IF($C$9="Data Not Entered On Set-Up Worksheet","",IF(OR(VLOOKUP($C$9,County_Lookup_MC,15,FALSE)="",VLOOKUP($C$9,County_Lookup_MC,15,FALSE)=0),"",VLOOKUP($C$9,County_Lookup_MC,15,FALSE)))</f>
        <v/>
      </c>
      <c r="B66" s="66"/>
      <c r="C66" s="58"/>
      <c r="D66" s="67" t="str">
        <f t="shared" si="54"/>
        <v/>
      </c>
      <c r="E66" s="66"/>
      <c r="F66" s="58"/>
      <c r="G66" s="67" t="str">
        <f t="shared" si="55"/>
        <v/>
      </c>
      <c r="H66" s="66"/>
      <c r="I66" s="58"/>
      <c r="J66" s="67" t="str">
        <f t="shared" si="56"/>
        <v/>
      </c>
      <c r="K66" s="71" t="str">
        <f t="shared" si="57"/>
        <v/>
      </c>
      <c r="L66" s="59" t="str">
        <f t="shared" si="58"/>
        <v/>
      </c>
      <c r="M66" s="67" t="str">
        <f t="shared" si="59"/>
        <v/>
      </c>
      <c r="N66" s="66"/>
      <c r="O66" s="58"/>
      <c r="P66" s="67" t="str">
        <f t="shared" si="60"/>
        <v/>
      </c>
      <c r="Q66" s="66"/>
      <c r="R66" s="58"/>
      <c r="S66" s="67" t="str">
        <f t="shared" si="61"/>
        <v/>
      </c>
      <c r="T66" s="66"/>
      <c r="U66" s="58"/>
      <c r="V66" s="67" t="str">
        <f t="shared" si="62"/>
        <v/>
      </c>
      <c r="W66" s="71" t="str">
        <f t="shared" si="63"/>
        <v/>
      </c>
      <c r="X66" s="59" t="str">
        <f t="shared" si="64"/>
        <v/>
      </c>
      <c r="Y66" s="67" t="str">
        <f t="shared" si="65"/>
        <v/>
      </c>
      <c r="Z66" s="66"/>
      <c r="AA66" s="58"/>
      <c r="AB66" s="67" t="str">
        <f t="shared" si="66"/>
        <v/>
      </c>
      <c r="AC66" s="66"/>
      <c r="AD66" s="58"/>
      <c r="AE66" s="67" t="str">
        <f t="shared" si="67"/>
        <v/>
      </c>
      <c r="AF66" s="66"/>
      <c r="AG66" s="58"/>
      <c r="AH66" s="67" t="str">
        <f t="shared" si="68"/>
        <v/>
      </c>
      <c r="AI66" s="71" t="str">
        <f t="shared" si="69"/>
        <v/>
      </c>
      <c r="AJ66" s="59" t="str">
        <f t="shared" si="70"/>
        <v/>
      </c>
      <c r="AK66" s="67" t="str">
        <f t="shared" si="71"/>
        <v/>
      </c>
      <c r="AL66" s="66"/>
      <c r="AM66" s="58"/>
      <c r="AN66" s="67" t="str">
        <f t="shared" si="72"/>
        <v/>
      </c>
    </row>
    <row r="67" spans="1:40" ht="18" customHeight="1">
      <c r="A67" s="74" t="str">
        <f>IF($C$9="Data Not Entered On Set-Up Worksheet","",IF(OR(VLOOKUP($C$9,County_Lookup_MC,16,FALSE)="",VLOOKUP($C$9,County_Lookup_MC,16,FALSE)=0),"",VLOOKUP($C$9,County_Lookup_MC,16,FALSE)))</f>
        <v/>
      </c>
      <c r="B67" s="66"/>
      <c r="C67" s="58"/>
      <c r="D67" s="67" t="str">
        <f t="shared" si="54"/>
        <v/>
      </c>
      <c r="E67" s="66"/>
      <c r="F67" s="58"/>
      <c r="G67" s="67" t="str">
        <f t="shared" si="55"/>
        <v/>
      </c>
      <c r="H67" s="66"/>
      <c r="I67" s="58"/>
      <c r="J67" s="67" t="str">
        <f t="shared" si="56"/>
        <v/>
      </c>
      <c r="K67" s="71" t="str">
        <f t="shared" si="57"/>
        <v/>
      </c>
      <c r="L67" s="59" t="str">
        <f t="shared" si="58"/>
        <v/>
      </c>
      <c r="M67" s="67" t="str">
        <f t="shared" si="59"/>
        <v/>
      </c>
      <c r="N67" s="66"/>
      <c r="O67" s="58"/>
      <c r="P67" s="67" t="str">
        <f t="shared" si="60"/>
        <v/>
      </c>
      <c r="Q67" s="66"/>
      <c r="R67" s="58"/>
      <c r="S67" s="67" t="str">
        <f t="shared" si="61"/>
        <v/>
      </c>
      <c r="T67" s="66"/>
      <c r="U67" s="58"/>
      <c r="V67" s="67" t="str">
        <f t="shared" si="62"/>
        <v/>
      </c>
      <c r="W67" s="71" t="str">
        <f t="shared" si="63"/>
        <v/>
      </c>
      <c r="X67" s="59" t="str">
        <f t="shared" si="64"/>
        <v/>
      </c>
      <c r="Y67" s="67" t="str">
        <f t="shared" si="65"/>
        <v/>
      </c>
      <c r="Z67" s="66"/>
      <c r="AA67" s="58"/>
      <c r="AB67" s="67" t="str">
        <f t="shared" si="66"/>
        <v/>
      </c>
      <c r="AC67" s="66"/>
      <c r="AD67" s="58"/>
      <c r="AE67" s="67" t="str">
        <f t="shared" si="67"/>
        <v/>
      </c>
      <c r="AF67" s="66"/>
      <c r="AG67" s="58"/>
      <c r="AH67" s="67" t="str">
        <f t="shared" si="68"/>
        <v/>
      </c>
      <c r="AI67" s="71" t="str">
        <f t="shared" si="69"/>
        <v/>
      </c>
      <c r="AJ67" s="59" t="str">
        <f t="shared" si="70"/>
        <v/>
      </c>
      <c r="AK67" s="67" t="str">
        <f t="shared" si="71"/>
        <v/>
      </c>
      <c r="AL67" s="66"/>
      <c r="AM67" s="58"/>
      <c r="AN67" s="67" t="str">
        <f t="shared" si="72"/>
        <v/>
      </c>
    </row>
    <row r="68" spans="1:40" ht="18" customHeight="1">
      <c r="A68" s="74" t="str">
        <f>IF($C$9="Data Not Entered On Set-Up Worksheet","",IF(OR(VLOOKUP($C$9,County_Lookup_MC,17,FALSE)="",VLOOKUP($C$9,County_Lookup_MC,17,FALSE)=0),"",VLOOKUP($C$9,County_Lookup_MC,17,FALSE)))</f>
        <v/>
      </c>
      <c r="B68" s="66"/>
      <c r="C68" s="58"/>
      <c r="D68" s="67" t="str">
        <f t="shared" si="54"/>
        <v/>
      </c>
      <c r="E68" s="66"/>
      <c r="F68" s="58"/>
      <c r="G68" s="67" t="str">
        <f t="shared" si="55"/>
        <v/>
      </c>
      <c r="H68" s="66"/>
      <c r="I68" s="58"/>
      <c r="J68" s="67" t="str">
        <f t="shared" si="56"/>
        <v/>
      </c>
      <c r="K68" s="71" t="str">
        <f t="shared" si="57"/>
        <v/>
      </c>
      <c r="L68" s="59" t="str">
        <f t="shared" si="58"/>
        <v/>
      </c>
      <c r="M68" s="67" t="str">
        <f t="shared" si="59"/>
        <v/>
      </c>
      <c r="N68" s="66"/>
      <c r="O68" s="58"/>
      <c r="P68" s="67" t="str">
        <f t="shared" si="60"/>
        <v/>
      </c>
      <c r="Q68" s="66"/>
      <c r="R68" s="58"/>
      <c r="S68" s="67" t="str">
        <f t="shared" si="61"/>
        <v/>
      </c>
      <c r="T68" s="66"/>
      <c r="U68" s="58"/>
      <c r="V68" s="67" t="str">
        <f t="shared" si="62"/>
        <v/>
      </c>
      <c r="W68" s="71" t="str">
        <f t="shared" si="63"/>
        <v/>
      </c>
      <c r="X68" s="59" t="str">
        <f t="shared" si="64"/>
        <v/>
      </c>
      <c r="Y68" s="67" t="str">
        <f t="shared" si="65"/>
        <v/>
      </c>
      <c r="Z68" s="66"/>
      <c r="AA68" s="58"/>
      <c r="AB68" s="67" t="str">
        <f t="shared" si="66"/>
        <v/>
      </c>
      <c r="AC68" s="66"/>
      <c r="AD68" s="58"/>
      <c r="AE68" s="67" t="str">
        <f t="shared" si="67"/>
        <v/>
      </c>
      <c r="AF68" s="66"/>
      <c r="AG68" s="58"/>
      <c r="AH68" s="67" t="str">
        <f t="shared" si="68"/>
        <v/>
      </c>
      <c r="AI68" s="71" t="str">
        <f t="shared" si="69"/>
        <v/>
      </c>
      <c r="AJ68" s="59" t="str">
        <f t="shared" si="70"/>
        <v/>
      </c>
      <c r="AK68" s="67" t="str">
        <f t="shared" si="71"/>
        <v/>
      </c>
      <c r="AL68" s="66"/>
      <c r="AM68" s="58"/>
      <c r="AN68" s="67" t="str">
        <f t="shared" si="72"/>
        <v/>
      </c>
    </row>
    <row r="69" spans="1:40" ht="18" customHeight="1">
      <c r="A69" s="74" t="str">
        <f>IF($C$9="Data Not Entered On Set-Up Worksheet","",IF(OR(VLOOKUP($C$9,County_Lookup_MC,18,FALSE)="",VLOOKUP($C$9,County_Lookup_MC,18,FALSE)=0),"",VLOOKUP($C$9,County_Lookup_MC,18,FALSE)))</f>
        <v/>
      </c>
      <c r="B69" s="66"/>
      <c r="C69" s="58"/>
      <c r="D69" s="67" t="str">
        <f t="shared" si="54"/>
        <v/>
      </c>
      <c r="E69" s="66"/>
      <c r="F69" s="58"/>
      <c r="G69" s="67" t="str">
        <f t="shared" si="55"/>
        <v/>
      </c>
      <c r="H69" s="66"/>
      <c r="I69" s="58"/>
      <c r="J69" s="67" t="str">
        <f t="shared" si="56"/>
        <v/>
      </c>
      <c r="K69" s="71" t="str">
        <f t="shared" si="57"/>
        <v/>
      </c>
      <c r="L69" s="59" t="str">
        <f t="shared" si="58"/>
        <v/>
      </c>
      <c r="M69" s="67" t="str">
        <f t="shared" si="59"/>
        <v/>
      </c>
      <c r="N69" s="66"/>
      <c r="O69" s="58"/>
      <c r="P69" s="67" t="str">
        <f t="shared" si="60"/>
        <v/>
      </c>
      <c r="Q69" s="66"/>
      <c r="R69" s="58"/>
      <c r="S69" s="67" t="str">
        <f t="shared" si="61"/>
        <v/>
      </c>
      <c r="T69" s="66"/>
      <c r="U69" s="58"/>
      <c r="V69" s="67" t="str">
        <f t="shared" si="62"/>
        <v/>
      </c>
      <c r="W69" s="71" t="str">
        <f t="shared" si="63"/>
        <v/>
      </c>
      <c r="X69" s="59" t="str">
        <f t="shared" si="64"/>
        <v/>
      </c>
      <c r="Y69" s="67" t="str">
        <f t="shared" si="65"/>
        <v/>
      </c>
      <c r="Z69" s="66"/>
      <c r="AA69" s="58"/>
      <c r="AB69" s="67" t="str">
        <f t="shared" si="66"/>
        <v/>
      </c>
      <c r="AC69" s="66"/>
      <c r="AD69" s="58"/>
      <c r="AE69" s="67" t="str">
        <f t="shared" si="67"/>
        <v/>
      </c>
      <c r="AF69" s="66"/>
      <c r="AG69" s="58"/>
      <c r="AH69" s="67" t="str">
        <f t="shared" si="68"/>
        <v/>
      </c>
      <c r="AI69" s="71" t="str">
        <f t="shared" si="69"/>
        <v/>
      </c>
      <c r="AJ69" s="59" t="str">
        <f t="shared" si="70"/>
        <v/>
      </c>
      <c r="AK69" s="67" t="str">
        <f t="shared" si="71"/>
        <v/>
      </c>
      <c r="AL69" s="66"/>
      <c r="AM69" s="58"/>
      <c r="AN69" s="67" t="str">
        <f t="shared" si="72"/>
        <v/>
      </c>
    </row>
    <row r="70" spans="1:40" ht="18" customHeight="1">
      <c r="A70" s="74" t="str">
        <f>IF($C$9="Data Not Entered On Set-Up Worksheet","",IF(OR(VLOOKUP($C$9,County_Lookup_MC,19,FALSE)="",VLOOKUP($C$9,County_Lookup_MC,19,FALSE)=0),"",VLOOKUP($C$9,County_Lookup_MC,19,FALSE)))</f>
        <v/>
      </c>
      <c r="B70" s="66"/>
      <c r="C70" s="58"/>
      <c r="D70" s="67" t="str">
        <f t="shared" si="54"/>
        <v/>
      </c>
      <c r="E70" s="66"/>
      <c r="F70" s="58"/>
      <c r="G70" s="67" t="str">
        <f t="shared" si="55"/>
        <v/>
      </c>
      <c r="H70" s="66"/>
      <c r="I70" s="58"/>
      <c r="J70" s="67" t="str">
        <f t="shared" si="56"/>
        <v/>
      </c>
      <c r="K70" s="71" t="str">
        <f t="shared" si="57"/>
        <v/>
      </c>
      <c r="L70" s="59" t="str">
        <f t="shared" si="58"/>
        <v/>
      </c>
      <c r="M70" s="67" t="str">
        <f t="shared" si="59"/>
        <v/>
      </c>
      <c r="N70" s="66"/>
      <c r="O70" s="58"/>
      <c r="P70" s="67" t="str">
        <f t="shared" si="60"/>
        <v/>
      </c>
      <c r="Q70" s="66"/>
      <c r="R70" s="58"/>
      <c r="S70" s="67" t="str">
        <f t="shared" si="61"/>
        <v/>
      </c>
      <c r="T70" s="66"/>
      <c r="U70" s="58"/>
      <c r="V70" s="67" t="str">
        <f t="shared" si="62"/>
        <v/>
      </c>
      <c r="W70" s="71" t="str">
        <f t="shared" si="63"/>
        <v/>
      </c>
      <c r="X70" s="59" t="str">
        <f t="shared" si="64"/>
        <v/>
      </c>
      <c r="Y70" s="67" t="str">
        <f t="shared" si="65"/>
        <v/>
      </c>
      <c r="Z70" s="66"/>
      <c r="AA70" s="58"/>
      <c r="AB70" s="67" t="str">
        <f t="shared" si="66"/>
        <v/>
      </c>
      <c r="AC70" s="66"/>
      <c r="AD70" s="58"/>
      <c r="AE70" s="67" t="str">
        <f t="shared" si="67"/>
        <v/>
      </c>
      <c r="AF70" s="66"/>
      <c r="AG70" s="58"/>
      <c r="AH70" s="67" t="str">
        <f t="shared" si="68"/>
        <v/>
      </c>
      <c r="AI70" s="71" t="str">
        <f t="shared" si="69"/>
        <v/>
      </c>
      <c r="AJ70" s="59" t="str">
        <f t="shared" si="70"/>
        <v/>
      </c>
      <c r="AK70" s="67" t="str">
        <f t="shared" si="71"/>
        <v/>
      </c>
      <c r="AL70" s="66"/>
      <c r="AM70" s="58"/>
      <c r="AN70" s="67" t="str">
        <f t="shared" si="72"/>
        <v/>
      </c>
    </row>
    <row r="71" spans="1:40" ht="18" customHeight="1">
      <c r="A71" s="74" t="str">
        <f>IF($C$9="Data Not Entered On Set-Up Worksheet","",IF(OR(VLOOKUP($C$9,County_Lookup_MC,20,FALSE)="",VLOOKUP($C$9,County_Lookup_MC,20,FALSE)=0),"",VLOOKUP($C$9,County_Lookup_MC,20,FALSE)))</f>
        <v/>
      </c>
      <c r="B71" s="66"/>
      <c r="C71" s="58"/>
      <c r="D71" s="67" t="str">
        <f t="shared" si="54"/>
        <v/>
      </c>
      <c r="E71" s="66"/>
      <c r="F71" s="58"/>
      <c r="G71" s="67" t="str">
        <f t="shared" si="55"/>
        <v/>
      </c>
      <c r="H71" s="66"/>
      <c r="I71" s="58"/>
      <c r="J71" s="67" t="str">
        <f t="shared" si="56"/>
        <v/>
      </c>
      <c r="K71" s="71" t="str">
        <f t="shared" si="57"/>
        <v/>
      </c>
      <c r="L71" s="59" t="str">
        <f t="shared" si="58"/>
        <v/>
      </c>
      <c r="M71" s="67" t="str">
        <f t="shared" si="59"/>
        <v/>
      </c>
      <c r="N71" s="66"/>
      <c r="O71" s="58"/>
      <c r="P71" s="67" t="str">
        <f t="shared" si="60"/>
        <v/>
      </c>
      <c r="Q71" s="66"/>
      <c r="R71" s="58"/>
      <c r="S71" s="67" t="str">
        <f t="shared" si="61"/>
        <v/>
      </c>
      <c r="T71" s="66"/>
      <c r="U71" s="58"/>
      <c r="V71" s="67" t="str">
        <f t="shared" si="62"/>
        <v/>
      </c>
      <c r="W71" s="71" t="str">
        <f t="shared" si="63"/>
        <v/>
      </c>
      <c r="X71" s="59" t="str">
        <f t="shared" si="64"/>
        <v/>
      </c>
      <c r="Y71" s="67" t="str">
        <f t="shared" si="65"/>
        <v/>
      </c>
      <c r="Z71" s="66"/>
      <c r="AA71" s="58"/>
      <c r="AB71" s="67" t="str">
        <f t="shared" si="66"/>
        <v/>
      </c>
      <c r="AC71" s="66"/>
      <c r="AD71" s="58"/>
      <c r="AE71" s="67" t="str">
        <f t="shared" si="67"/>
        <v/>
      </c>
      <c r="AF71" s="66"/>
      <c r="AG71" s="58"/>
      <c r="AH71" s="67" t="str">
        <f t="shared" si="68"/>
        <v/>
      </c>
      <c r="AI71" s="71" t="str">
        <f t="shared" si="69"/>
        <v/>
      </c>
      <c r="AJ71" s="59" t="str">
        <f t="shared" si="70"/>
        <v/>
      </c>
      <c r="AK71" s="67" t="str">
        <f t="shared" si="71"/>
        <v/>
      </c>
      <c r="AL71" s="66"/>
      <c r="AM71" s="58"/>
      <c r="AN71" s="67" t="str">
        <f t="shared" si="72"/>
        <v/>
      </c>
    </row>
    <row r="72" spans="1:40" ht="18" customHeight="1">
      <c r="A72" s="74" t="str">
        <f>IF($C$9="Data Not Entered On Set-Up Worksheet","",IF(OR(VLOOKUP($C$9,County_Lookup_MC,21,FALSE)="",VLOOKUP($C$9,County_Lookup_MC,21,FALSE)=0),"",VLOOKUP($C$9,County_Lookup_MC,21,FALSE)))</f>
        <v/>
      </c>
      <c r="B72" s="66"/>
      <c r="C72" s="58"/>
      <c r="D72" s="67" t="str">
        <f t="shared" si="54"/>
        <v/>
      </c>
      <c r="E72" s="66"/>
      <c r="F72" s="58"/>
      <c r="G72" s="67" t="str">
        <f t="shared" si="55"/>
        <v/>
      </c>
      <c r="H72" s="66"/>
      <c r="I72" s="58"/>
      <c r="J72" s="67" t="str">
        <f t="shared" si="56"/>
        <v/>
      </c>
      <c r="K72" s="71" t="str">
        <f t="shared" si="57"/>
        <v/>
      </c>
      <c r="L72" s="59" t="str">
        <f t="shared" si="58"/>
        <v/>
      </c>
      <c r="M72" s="67" t="str">
        <f t="shared" si="59"/>
        <v/>
      </c>
      <c r="N72" s="66"/>
      <c r="O72" s="58"/>
      <c r="P72" s="67" t="str">
        <f t="shared" si="60"/>
        <v/>
      </c>
      <c r="Q72" s="66"/>
      <c r="R72" s="58"/>
      <c r="S72" s="67" t="str">
        <f t="shared" si="61"/>
        <v/>
      </c>
      <c r="T72" s="66"/>
      <c r="U72" s="58"/>
      <c r="V72" s="67" t="str">
        <f t="shared" si="62"/>
        <v/>
      </c>
      <c r="W72" s="71" t="str">
        <f t="shared" si="63"/>
        <v/>
      </c>
      <c r="X72" s="59" t="str">
        <f t="shared" si="64"/>
        <v/>
      </c>
      <c r="Y72" s="67" t="str">
        <f t="shared" si="65"/>
        <v/>
      </c>
      <c r="Z72" s="66"/>
      <c r="AA72" s="58"/>
      <c r="AB72" s="67" t="str">
        <f t="shared" si="66"/>
        <v/>
      </c>
      <c r="AC72" s="66"/>
      <c r="AD72" s="58"/>
      <c r="AE72" s="67" t="str">
        <f t="shared" si="67"/>
        <v/>
      </c>
      <c r="AF72" s="66"/>
      <c r="AG72" s="58"/>
      <c r="AH72" s="67" t="str">
        <f t="shared" si="68"/>
        <v/>
      </c>
      <c r="AI72" s="71" t="str">
        <f t="shared" si="69"/>
        <v/>
      </c>
      <c r="AJ72" s="59" t="str">
        <f t="shared" si="70"/>
        <v/>
      </c>
      <c r="AK72" s="67" t="str">
        <f t="shared" si="71"/>
        <v/>
      </c>
      <c r="AL72" s="66"/>
      <c r="AM72" s="58"/>
      <c r="AN72" s="67" t="str">
        <f t="shared" si="72"/>
        <v/>
      </c>
    </row>
    <row r="73" spans="1:40" ht="18" customHeight="1">
      <c r="A73" s="73" t="str">
        <f>IF($C$9="Data Not Entered On Set-Up Worksheet","",IF(OR(VLOOKUP($C$9,County_Lookup_MC,22,FALSE)="",VLOOKUP($C$9,County_Lookup_MC,22,FALSE)=0),"",VLOOKUP($C$9,County_Lookup_MC,22,FALSE)))</f>
        <v/>
      </c>
      <c r="B73" s="66"/>
      <c r="C73" s="58"/>
      <c r="D73" s="67" t="str">
        <f t="shared" si="54"/>
        <v/>
      </c>
      <c r="E73" s="66"/>
      <c r="F73" s="58"/>
      <c r="G73" s="67" t="str">
        <f t="shared" si="55"/>
        <v/>
      </c>
      <c r="H73" s="66"/>
      <c r="I73" s="58"/>
      <c r="J73" s="67" t="str">
        <f t="shared" si="56"/>
        <v/>
      </c>
      <c r="K73" s="71" t="str">
        <f t="shared" si="57"/>
        <v/>
      </c>
      <c r="L73" s="59" t="str">
        <f t="shared" si="58"/>
        <v/>
      </c>
      <c r="M73" s="67" t="str">
        <f t="shared" si="59"/>
        <v/>
      </c>
      <c r="N73" s="66"/>
      <c r="O73" s="58"/>
      <c r="P73" s="67" t="str">
        <f t="shared" si="60"/>
        <v/>
      </c>
      <c r="Q73" s="66"/>
      <c r="R73" s="58"/>
      <c r="S73" s="67" t="str">
        <f t="shared" si="61"/>
        <v/>
      </c>
      <c r="T73" s="66"/>
      <c r="U73" s="58"/>
      <c r="V73" s="67" t="str">
        <f t="shared" si="62"/>
        <v/>
      </c>
      <c r="W73" s="71" t="str">
        <f t="shared" si="63"/>
        <v/>
      </c>
      <c r="X73" s="59" t="str">
        <f t="shared" si="64"/>
        <v/>
      </c>
      <c r="Y73" s="67" t="str">
        <f t="shared" si="65"/>
        <v/>
      </c>
      <c r="Z73" s="66"/>
      <c r="AA73" s="58"/>
      <c r="AB73" s="67" t="str">
        <f t="shared" si="66"/>
        <v/>
      </c>
      <c r="AC73" s="66"/>
      <c r="AD73" s="58"/>
      <c r="AE73" s="67" t="str">
        <f t="shared" si="67"/>
        <v/>
      </c>
      <c r="AF73" s="66"/>
      <c r="AG73" s="58"/>
      <c r="AH73" s="67" t="str">
        <f t="shared" si="68"/>
        <v/>
      </c>
      <c r="AI73" s="71" t="str">
        <f t="shared" si="69"/>
        <v/>
      </c>
      <c r="AJ73" s="59" t="str">
        <f t="shared" si="70"/>
        <v/>
      </c>
      <c r="AK73" s="67" t="str">
        <f t="shared" si="71"/>
        <v/>
      </c>
      <c r="AL73" s="66"/>
      <c r="AM73" s="58"/>
      <c r="AN73" s="67" t="str">
        <f t="shared" si="72"/>
        <v/>
      </c>
    </row>
    <row r="74" spans="1:40" ht="18" customHeight="1">
      <c r="A74" s="74" t="str">
        <f>IF($C$9="Data Not Entered On Set-Up Worksheet","",IF(OR(VLOOKUP($C$9,County_Lookup_MC,23,FALSE)="",VLOOKUP($C$9,County_Lookup_MC,23,FALSE)=0),"",VLOOKUP($C$9,County_Lookup_MC,23,FALSE)))</f>
        <v/>
      </c>
      <c r="B74" s="66"/>
      <c r="C74" s="58"/>
      <c r="D74" s="67" t="str">
        <f t="shared" si="54"/>
        <v/>
      </c>
      <c r="E74" s="66"/>
      <c r="F74" s="58"/>
      <c r="G74" s="67" t="str">
        <f t="shared" si="55"/>
        <v/>
      </c>
      <c r="H74" s="66"/>
      <c r="I74" s="58"/>
      <c r="J74" s="67" t="str">
        <f t="shared" si="56"/>
        <v/>
      </c>
      <c r="K74" s="71" t="str">
        <f t="shared" si="57"/>
        <v/>
      </c>
      <c r="L74" s="59" t="str">
        <f t="shared" si="58"/>
        <v/>
      </c>
      <c r="M74" s="67" t="str">
        <f t="shared" si="59"/>
        <v/>
      </c>
      <c r="N74" s="66"/>
      <c r="O74" s="58"/>
      <c r="P74" s="67" t="str">
        <f t="shared" si="60"/>
        <v/>
      </c>
      <c r="Q74" s="66"/>
      <c r="R74" s="58"/>
      <c r="S74" s="67" t="str">
        <f t="shared" si="61"/>
        <v/>
      </c>
      <c r="T74" s="66"/>
      <c r="U74" s="58"/>
      <c r="V74" s="67" t="str">
        <f t="shared" si="62"/>
        <v/>
      </c>
      <c r="W74" s="71" t="str">
        <f t="shared" si="63"/>
        <v/>
      </c>
      <c r="X74" s="59" t="str">
        <f t="shared" si="64"/>
        <v/>
      </c>
      <c r="Y74" s="67" t="str">
        <f t="shared" si="65"/>
        <v/>
      </c>
      <c r="Z74" s="66"/>
      <c r="AA74" s="58"/>
      <c r="AB74" s="67" t="str">
        <f t="shared" si="66"/>
        <v/>
      </c>
      <c r="AC74" s="66"/>
      <c r="AD74" s="58"/>
      <c r="AE74" s="67" t="str">
        <f t="shared" si="67"/>
        <v/>
      </c>
      <c r="AF74" s="66"/>
      <c r="AG74" s="58"/>
      <c r="AH74" s="67" t="str">
        <f t="shared" si="68"/>
        <v/>
      </c>
      <c r="AI74" s="71" t="str">
        <f t="shared" si="69"/>
        <v/>
      </c>
      <c r="AJ74" s="59" t="str">
        <f t="shared" si="70"/>
        <v/>
      </c>
      <c r="AK74" s="67" t="str">
        <f t="shared" si="71"/>
        <v/>
      </c>
      <c r="AL74" s="66"/>
      <c r="AM74" s="58"/>
      <c r="AN74" s="67" t="str">
        <f t="shared" si="72"/>
        <v/>
      </c>
    </row>
    <row r="75" spans="1:40" ht="18" customHeight="1">
      <c r="A75" s="74" t="str">
        <f>IF($C$9="Data Not Entered On Set-Up Worksheet","",IF(OR(VLOOKUP($C$9,County_Lookup_MC,24,FALSE)="",VLOOKUP($C$9,County_Lookup_MC,24,FALSE)=0),"",VLOOKUP($C$9,County_Lookup_MC,24,FALSE)))</f>
        <v/>
      </c>
      <c r="B75" s="66"/>
      <c r="C75" s="58"/>
      <c r="D75" s="67" t="str">
        <f t="shared" ref="D75:D77" si="73">IF($A75="","",IF(C75=0,0,B75/C75))</f>
        <v/>
      </c>
      <c r="E75" s="66"/>
      <c r="F75" s="58"/>
      <c r="G75" s="67" t="str">
        <f t="shared" ref="G75:G77" si="74">IF($A75="","",IF(F75=0,0,E75/F75))</f>
        <v/>
      </c>
      <c r="H75" s="66"/>
      <c r="I75" s="58"/>
      <c r="J75" s="67" t="str">
        <f t="shared" ref="J75:J77" si="75">IF($A75="","",IF(I75=0,0,H75/I75))</f>
        <v/>
      </c>
      <c r="K75" s="71" t="str">
        <f t="shared" ref="K75:K77" si="76">IF($A75="","",SUM(E75,H75))</f>
        <v/>
      </c>
      <c r="L75" s="59" t="str">
        <f t="shared" ref="L75:L77" si="77">IF($A75="","",SUM(F75,I75))</f>
        <v/>
      </c>
      <c r="M75" s="67" t="str">
        <f t="shared" ref="M75:M77" si="78">IF($A75="","",IF(L75=0,0,K75/L75))</f>
        <v/>
      </c>
      <c r="N75" s="66"/>
      <c r="O75" s="58"/>
      <c r="P75" s="67" t="str">
        <f t="shared" ref="P75:P77" si="79">IF($A75="","",IF(O75=0,0,N75/O75))</f>
        <v/>
      </c>
      <c r="Q75" s="66"/>
      <c r="R75" s="58"/>
      <c r="S75" s="67" t="str">
        <f t="shared" ref="S75:S77" si="80">IF($A75="","",IF(R75=0,0,Q75/R75))</f>
        <v/>
      </c>
      <c r="T75" s="66"/>
      <c r="U75" s="58"/>
      <c r="V75" s="67" t="str">
        <f t="shared" ref="V75:V77" si="81">IF($A75="","",IF(U75=0,0,T75/U75))</f>
        <v/>
      </c>
      <c r="W75" s="71" t="str">
        <f t="shared" ref="W75:W77" si="82">IF($A75="","",SUM(Q75,T75))</f>
        <v/>
      </c>
      <c r="X75" s="59" t="str">
        <f t="shared" ref="X75:X77" si="83">IF($A75="","",SUM(R75,U75))</f>
        <v/>
      </c>
      <c r="Y75" s="67" t="str">
        <f t="shared" ref="Y75:Y77" si="84">IF($A75="","",IF(X75=0,0,W75/X75))</f>
        <v/>
      </c>
      <c r="Z75" s="66"/>
      <c r="AA75" s="58"/>
      <c r="AB75" s="67" t="str">
        <f t="shared" ref="AB75:AB77" si="85">IF($A75="","",IF(AA75=0,0,Z75/AA75))</f>
        <v/>
      </c>
      <c r="AC75" s="66"/>
      <c r="AD75" s="58"/>
      <c r="AE75" s="67" t="str">
        <f t="shared" ref="AE75:AE77" si="86">IF($A75="","",IF(AD75=0,0,AC75/AD75))</f>
        <v/>
      </c>
      <c r="AF75" s="66"/>
      <c r="AG75" s="58"/>
      <c r="AH75" s="67" t="str">
        <f t="shared" ref="AH75:AH77" si="87">IF($A75="","",IF(AG75=0,0,AF75/AG75))</f>
        <v/>
      </c>
      <c r="AI75" s="71" t="str">
        <f t="shared" ref="AI75:AI77" si="88">IF($A75="","",SUM(AC75,AF75))</f>
        <v/>
      </c>
      <c r="AJ75" s="59" t="str">
        <f t="shared" ref="AJ75:AJ77" si="89">IF($A75="","",SUM(AD75,AG75))</f>
        <v/>
      </c>
      <c r="AK75" s="67" t="str">
        <f t="shared" ref="AK75:AK77" si="90">IF($A75="","",IF(AJ75=0,0,AI75/AJ75))</f>
        <v/>
      </c>
      <c r="AL75" s="66"/>
      <c r="AM75" s="58"/>
      <c r="AN75" s="67" t="str">
        <f t="shared" ref="AN75:AN77" si="91">IF($A75="","",IF(AM75=0,0,AL75/AM75))</f>
        <v/>
      </c>
    </row>
    <row r="76" spans="1:40" ht="18" customHeight="1">
      <c r="A76" s="74" t="str">
        <f>IF($C$9="Data Not Entered On Set-Up Worksheet","",IF(OR(VLOOKUP($C$9,County_Lookup_MC,25,FALSE)="",VLOOKUP($C$9,County_Lookup_MC,25,FALSE)=0),"",VLOOKUP($C$9,County_Lookup_MC,25,FALSE)))</f>
        <v/>
      </c>
      <c r="B76" s="66"/>
      <c r="C76" s="58"/>
      <c r="D76" s="67" t="str">
        <f t="shared" si="73"/>
        <v/>
      </c>
      <c r="E76" s="66"/>
      <c r="F76" s="58"/>
      <c r="G76" s="67" t="str">
        <f t="shared" si="74"/>
        <v/>
      </c>
      <c r="H76" s="66"/>
      <c r="I76" s="58"/>
      <c r="J76" s="67" t="str">
        <f t="shared" si="75"/>
        <v/>
      </c>
      <c r="K76" s="71" t="str">
        <f t="shared" si="76"/>
        <v/>
      </c>
      <c r="L76" s="59" t="str">
        <f t="shared" si="77"/>
        <v/>
      </c>
      <c r="M76" s="67" t="str">
        <f t="shared" si="78"/>
        <v/>
      </c>
      <c r="N76" s="66"/>
      <c r="O76" s="58"/>
      <c r="P76" s="67" t="str">
        <f t="shared" si="79"/>
        <v/>
      </c>
      <c r="Q76" s="66"/>
      <c r="R76" s="58"/>
      <c r="S76" s="67" t="str">
        <f t="shared" si="80"/>
        <v/>
      </c>
      <c r="T76" s="66"/>
      <c r="U76" s="58"/>
      <c r="V76" s="67" t="str">
        <f t="shared" si="81"/>
        <v/>
      </c>
      <c r="W76" s="71" t="str">
        <f t="shared" si="82"/>
        <v/>
      </c>
      <c r="X76" s="59" t="str">
        <f t="shared" si="83"/>
        <v/>
      </c>
      <c r="Y76" s="67" t="str">
        <f t="shared" si="84"/>
        <v/>
      </c>
      <c r="Z76" s="66"/>
      <c r="AA76" s="58"/>
      <c r="AB76" s="67" t="str">
        <f t="shared" si="85"/>
        <v/>
      </c>
      <c r="AC76" s="66"/>
      <c r="AD76" s="58"/>
      <c r="AE76" s="67" t="str">
        <f t="shared" si="86"/>
        <v/>
      </c>
      <c r="AF76" s="66"/>
      <c r="AG76" s="58"/>
      <c r="AH76" s="67" t="str">
        <f t="shared" si="87"/>
        <v/>
      </c>
      <c r="AI76" s="71" t="str">
        <f t="shared" si="88"/>
        <v/>
      </c>
      <c r="AJ76" s="59" t="str">
        <f t="shared" si="89"/>
        <v/>
      </c>
      <c r="AK76" s="67" t="str">
        <f t="shared" si="90"/>
        <v/>
      </c>
      <c r="AL76" s="66"/>
      <c r="AM76" s="58"/>
      <c r="AN76" s="67" t="str">
        <f t="shared" si="91"/>
        <v/>
      </c>
    </row>
    <row r="77" spans="1:40" ht="18" customHeight="1">
      <c r="A77" s="74" t="str">
        <f>IF($C$9="Data Not Entered On Set-Up Worksheet","",IF(OR(VLOOKUP($C$9,County_Lookup_MC,26,FALSE)="",VLOOKUP($C$9,County_Lookup_MC,26,FALSE)=0),"",VLOOKUP($C$9,County_Lookup_MC,26,FALSE)))</f>
        <v/>
      </c>
      <c r="B77" s="66"/>
      <c r="C77" s="58"/>
      <c r="D77" s="67" t="str">
        <f t="shared" si="73"/>
        <v/>
      </c>
      <c r="E77" s="66"/>
      <c r="F77" s="58"/>
      <c r="G77" s="67" t="str">
        <f t="shared" si="74"/>
        <v/>
      </c>
      <c r="H77" s="66"/>
      <c r="I77" s="58"/>
      <c r="J77" s="67" t="str">
        <f t="shared" si="75"/>
        <v/>
      </c>
      <c r="K77" s="71" t="str">
        <f t="shared" si="76"/>
        <v/>
      </c>
      <c r="L77" s="59" t="str">
        <f t="shared" si="77"/>
        <v/>
      </c>
      <c r="M77" s="67" t="str">
        <f t="shared" si="78"/>
        <v/>
      </c>
      <c r="N77" s="66"/>
      <c r="O77" s="58"/>
      <c r="P77" s="67" t="str">
        <f t="shared" si="79"/>
        <v/>
      </c>
      <c r="Q77" s="66"/>
      <c r="R77" s="58"/>
      <c r="S77" s="67" t="str">
        <f t="shared" si="80"/>
        <v/>
      </c>
      <c r="T77" s="66"/>
      <c r="U77" s="58"/>
      <c r="V77" s="67" t="str">
        <f t="shared" si="81"/>
        <v/>
      </c>
      <c r="W77" s="71" t="str">
        <f t="shared" si="82"/>
        <v/>
      </c>
      <c r="X77" s="59" t="str">
        <f t="shared" si="83"/>
        <v/>
      </c>
      <c r="Y77" s="67" t="str">
        <f t="shared" si="84"/>
        <v/>
      </c>
      <c r="Z77" s="66"/>
      <c r="AA77" s="58"/>
      <c r="AB77" s="67" t="str">
        <f t="shared" si="85"/>
        <v/>
      </c>
      <c r="AC77" s="66"/>
      <c r="AD77" s="58"/>
      <c r="AE77" s="67" t="str">
        <f t="shared" si="86"/>
        <v/>
      </c>
      <c r="AF77" s="66"/>
      <c r="AG77" s="58"/>
      <c r="AH77" s="67" t="str">
        <f t="shared" si="87"/>
        <v/>
      </c>
      <c r="AI77" s="71" t="str">
        <f t="shared" si="88"/>
        <v/>
      </c>
      <c r="AJ77" s="59" t="str">
        <f t="shared" si="89"/>
        <v/>
      </c>
      <c r="AK77" s="67" t="str">
        <f t="shared" si="90"/>
        <v/>
      </c>
      <c r="AL77" s="66"/>
      <c r="AM77" s="58"/>
      <c r="AN77" s="67" t="str">
        <f t="shared" si="91"/>
        <v/>
      </c>
    </row>
    <row r="78" spans="1:40" ht="18" customHeight="1">
      <c r="A78" s="74" t="str">
        <f>IF($C$9="Data Not Entered On Set-Up Worksheet","",IF(OR(VLOOKUP($C$9,County_Lookup_MC,27,FALSE)="",VLOOKUP($C$9,County_Lookup_MC,27,FALSE)=0),"",VLOOKUP($C$9,County_Lookup_MC,27,FALSE)))</f>
        <v/>
      </c>
      <c r="B78" s="66"/>
      <c r="C78" s="58"/>
      <c r="D78" s="67" t="str">
        <f t="shared" si="54"/>
        <v/>
      </c>
      <c r="E78" s="66"/>
      <c r="F78" s="58"/>
      <c r="G78" s="67" t="str">
        <f t="shared" si="55"/>
        <v/>
      </c>
      <c r="H78" s="66"/>
      <c r="I78" s="58"/>
      <c r="J78" s="67" t="str">
        <f t="shared" si="56"/>
        <v/>
      </c>
      <c r="K78" s="71" t="str">
        <f t="shared" si="57"/>
        <v/>
      </c>
      <c r="L78" s="59" t="str">
        <f t="shared" si="58"/>
        <v/>
      </c>
      <c r="M78" s="67" t="str">
        <f t="shared" si="59"/>
        <v/>
      </c>
      <c r="N78" s="66"/>
      <c r="O78" s="58"/>
      <c r="P78" s="67" t="str">
        <f t="shared" si="60"/>
        <v/>
      </c>
      <c r="Q78" s="66"/>
      <c r="R78" s="58"/>
      <c r="S78" s="67" t="str">
        <f t="shared" si="61"/>
        <v/>
      </c>
      <c r="T78" s="66"/>
      <c r="U78" s="58"/>
      <c r="V78" s="67" t="str">
        <f t="shared" si="62"/>
        <v/>
      </c>
      <c r="W78" s="71" t="str">
        <f t="shared" si="63"/>
        <v/>
      </c>
      <c r="X78" s="59" t="str">
        <f t="shared" si="64"/>
        <v/>
      </c>
      <c r="Y78" s="67" t="str">
        <f t="shared" si="65"/>
        <v/>
      </c>
      <c r="Z78" s="66"/>
      <c r="AA78" s="58"/>
      <c r="AB78" s="67" t="str">
        <f t="shared" si="66"/>
        <v/>
      </c>
      <c r="AC78" s="66"/>
      <c r="AD78" s="58"/>
      <c r="AE78" s="67" t="str">
        <f t="shared" si="67"/>
        <v/>
      </c>
      <c r="AF78" s="66"/>
      <c r="AG78" s="58"/>
      <c r="AH78" s="67" t="str">
        <f t="shared" si="68"/>
        <v/>
      </c>
      <c r="AI78" s="71" t="str">
        <f t="shared" si="69"/>
        <v/>
      </c>
      <c r="AJ78" s="59" t="str">
        <f t="shared" si="70"/>
        <v/>
      </c>
      <c r="AK78" s="67" t="str">
        <f t="shared" si="71"/>
        <v/>
      </c>
      <c r="AL78" s="66"/>
      <c r="AM78" s="58"/>
      <c r="AN78" s="67" t="str">
        <f t="shared" si="72"/>
        <v/>
      </c>
    </row>
    <row r="79" spans="1:40" ht="18" customHeight="1" thickBot="1">
      <c r="A79" s="75" t="s">
        <v>0</v>
      </c>
      <c r="B79" s="68">
        <f>SUM(B53:B78)</f>
        <v>0</v>
      </c>
      <c r="C79" s="69">
        <f>SUM(C53:C78)</f>
        <v>0</v>
      </c>
      <c r="D79" s="70">
        <f t="shared" ref="D79" si="92">IF(C79=0,0,B79/C79)</f>
        <v>0</v>
      </c>
      <c r="E79" s="68">
        <f>SUM(E53:E78)</f>
        <v>0</v>
      </c>
      <c r="F79" s="69">
        <f>SUM(F53:F78)</f>
        <v>0</v>
      </c>
      <c r="G79" s="70">
        <f t="shared" ref="G79" si="93">IF(F79=0,0,E79/F79)</f>
        <v>0</v>
      </c>
      <c r="H79" s="68">
        <f>SUM(H53:H78)</f>
        <v>0</v>
      </c>
      <c r="I79" s="69">
        <f>SUM(I53:I78)</f>
        <v>0</v>
      </c>
      <c r="J79" s="70">
        <f t="shared" ref="J79" si="94">IF(I79=0,0,H79/I79)</f>
        <v>0</v>
      </c>
      <c r="K79" s="68">
        <f>SUM(K53:K78)</f>
        <v>0</v>
      </c>
      <c r="L79" s="69">
        <f>SUM(L53:L78)</f>
        <v>0</v>
      </c>
      <c r="M79" s="70">
        <f t="shared" ref="M79" si="95">IF(L79=0,0,K79/L79)</f>
        <v>0</v>
      </c>
      <c r="N79" s="68">
        <f>SUM(N53:N78)</f>
        <v>0</v>
      </c>
      <c r="O79" s="69">
        <f>SUM(O53:O78)</f>
        <v>0</v>
      </c>
      <c r="P79" s="70">
        <f t="shared" ref="P79" si="96">IF(O79=0,0,N79/O79)</f>
        <v>0</v>
      </c>
      <c r="Q79" s="68">
        <f>SUM(Q53:Q78)</f>
        <v>0</v>
      </c>
      <c r="R79" s="69">
        <f>SUM(R53:R78)</f>
        <v>0</v>
      </c>
      <c r="S79" s="70">
        <f t="shared" ref="S79" si="97">IF(R79=0,0,Q79/R79)</f>
        <v>0</v>
      </c>
      <c r="T79" s="68">
        <f>SUM(T53:T78)</f>
        <v>0</v>
      </c>
      <c r="U79" s="69">
        <f>SUM(U53:U78)</f>
        <v>0</v>
      </c>
      <c r="V79" s="70">
        <f t="shared" ref="V79" si="98">IF(U79=0,0,T79/U79)</f>
        <v>0</v>
      </c>
      <c r="W79" s="68">
        <f>SUM(W53:W78)</f>
        <v>0</v>
      </c>
      <c r="X79" s="69">
        <f>SUM(X53:X78)</f>
        <v>0</v>
      </c>
      <c r="Y79" s="70">
        <f t="shared" ref="Y79" si="99">IF(X79=0,0,W79/X79)</f>
        <v>0</v>
      </c>
      <c r="Z79" s="68">
        <f>SUM(Z53:Z78)</f>
        <v>0</v>
      </c>
      <c r="AA79" s="69">
        <f>SUM(AA53:AA78)</f>
        <v>0</v>
      </c>
      <c r="AB79" s="70">
        <f t="shared" ref="AB79" si="100">IF(AA79=0,0,Z79/AA79)</f>
        <v>0</v>
      </c>
      <c r="AC79" s="68">
        <f>SUM(AC53:AC78)</f>
        <v>0</v>
      </c>
      <c r="AD79" s="69">
        <f>SUM(AD53:AD78)</f>
        <v>0</v>
      </c>
      <c r="AE79" s="70">
        <f t="shared" ref="AE79" si="101">IF(AD79=0,0,AC79/AD79)</f>
        <v>0</v>
      </c>
      <c r="AF79" s="68">
        <f>SUM(AF53:AF78)</f>
        <v>0</v>
      </c>
      <c r="AG79" s="69">
        <f>SUM(AG53:AG78)</f>
        <v>0</v>
      </c>
      <c r="AH79" s="70">
        <f t="shared" ref="AH79" si="102">IF(AG79=0,0,AF79/AG79)</f>
        <v>0</v>
      </c>
      <c r="AI79" s="68">
        <f>SUM(AI53:AI78)</f>
        <v>0</v>
      </c>
      <c r="AJ79" s="69">
        <f>SUM(AJ53:AJ78)</f>
        <v>0</v>
      </c>
      <c r="AK79" s="70">
        <f t="shared" ref="AK79" si="103">IF(AJ79=0,0,AI79/AJ79)</f>
        <v>0</v>
      </c>
      <c r="AL79" s="68">
        <f>SUM(AL53:AL78)</f>
        <v>0</v>
      </c>
      <c r="AM79" s="69">
        <f>SUM(AM53:AM78)</f>
        <v>0</v>
      </c>
      <c r="AN79" s="70">
        <f t="shared" ref="AN79" si="104">IF(AM79=0,0,AL79/AM79)</f>
        <v>0</v>
      </c>
    </row>
  </sheetData>
  <sheetProtection sheet="1" objects="1" scenarios="1"/>
  <conditionalFormatting sqref="C3:C4">
    <cfRule type="expression" dxfId="1100" priority="122">
      <formula>C3="Data Not Entered On Set-Up Worksheet"</formula>
    </cfRule>
  </conditionalFormatting>
  <conditionalFormatting sqref="C9">
    <cfRule type="expression" dxfId="1099" priority="121">
      <formula>C9="Data Not Entered On Set-Up Worksheet"</formula>
    </cfRule>
  </conditionalFormatting>
  <conditionalFormatting sqref="C12">
    <cfRule type="expression" dxfId="1098" priority="120">
      <formula>C12="Data Not Entered On Set-Up Worksheet"</formula>
    </cfRule>
  </conditionalFormatting>
  <conditionalFormatting sqref="B19:C40 B44:C44">
    <cfRule type="expression" dxfId="1097" priority="119">
      <formula>AND($A19&lt;&gt;"",B19="")</formula>
    </cfRule>
  </conditionalFormatting>
  <conditionalFormatting sqref="F3">
    <cfRule type="expression" dxfId="1096" priority="118">
      <formula>F3="Data Not Entered On Set-Up Worksheet"</formula>
    </cfRule>
  </conditionalFormatting>
  <conditionalFormatting sqref="I3">
    <cfRule type="expression" dxfId="1095" priority="116">
      <formula>I3="Data Not Entered On Set-Up Worksheet"</formula>
    </cfRule>
  </conditionalFormatting>
  <conditionalFormatting sqref="I9">
    <cfRule type="expression" dxfId="1094" priority="115">
      <formula>I9="Data Not Entered On Set-Up Worksheet"</formula>
    </cfRule>
  </conditionalFormatting>
  <conditionalFormatting sqref="I11:I12">
    <cfRule type="expression" dxfId="1093" priority="114">
      <formula>I11="Data Not Entered On Set-Up Worksheet"</formula>
    </cfRule>
  </conditionalFormatting>
  <conditionalFormatting sqref="L3">
    <cfRule type="expression" dxfId="1092" priority="113">
      <formula>L3="Data Not Entered On Set-Up Worksheet"</formula>
    </cfRule>
  </conditionalFormatting>
  <conditionalFormatting sqref="L9">
    <cfRule type="expression" dxfId="1091" priority="112">
      <formula>L9="Data Not Entered On Set-Up Worksheet"</formula>
    </cfRule>
  </conditionalFormatting>
  <conditionalFormatting sqref="L11:L12">
    <cfRule type="expression" dxfId="1090" priority="111">
      <formula>L11="Data Not Entered On Set-Up Worksheet"</formula>
    </cfRule>
  </conditionalFormatting>
  <conditionalFormatting sqref="O3">
    <cfRule type="expression" dxfId="1089" priority="110">
      <formula>O3="Data Not Entered On Set-Up Worksheet"</formula>
    </cfRule>
  </conditionalFormatting>
  <conditionalFormatting sqref="O9">
    <cfRule type="expression" dxfId="1088" priority="109">
      <formula>O9="Data Not Entered On Set-Up Worksheet"</formula>
    </cfRule>
  </conditionalFormatting>
  <conditionalFormatting sqref="O11:O12">
    <cfRule type="expression" dxfId="1087" priority="108">
      <formula>O11="Data Not Entered On Set-Up Worksheet"</formula>
    </cfRule>
  </conditionalFormatting>
  <conditionalFormatting sqref="R3">
    <cfRule type="expression" dxfId="1086" priority="107">
      <formula>R3="Data Not Entered On Set-Up Worksheet"</formula>
    </cfRule>
  </conditionalFormatting>
  <conditionalFormatting sqref="R9">
    <cfRule type="expression" dxfId="1085" priority="106">
      <formula>R9="Data Not Entered On Set-Up Worksheet"</formula>
    </cfRule>
  </conditionalFormatting>
  <conditionalFormatting sqref="R11:R12">
    <cfRule type="expression" dxfId="1084" priority="105">
      <formula>R11="Data Not Entered On Set-Up Worksheet"</formula>
    </cfRule>
  </conditionalFormatting>
  <conditionalFormatting sqref="U3">
    <cfRule type="expression" dxfId="1083" priority="104">
      <formula>U3="Data Not Entered On Set-Up Worksheet"</formula>
    </cfRule>
  </conditionalFormatting>
  <conditionalFormatting sqref="U9">
    <cfRule type="expression" dxfId="1082" priority="103">
      <formula>U9="Data Not Entered On Set-Up Worksheet"</formula>
    </cfRule>
  </conditionalFormatting>
  <conditionalFormatting sqref="U11:U12">
    <cfRule type="expression" dxfId="1081" priority="102">
      <formula>U11="Data Not Entered On Set-Up Worksheet"</formula>
    </cfRule>
  </conditionalFormatting>
  <conditionalFormatting sqref="AM3">
    <cfRule type="expression" dxfId="1080" priority="101">
      <formula>AM3="Data Not Entered On Set-Up Worksheet"</formula>
    </cfRule>
  </conditionalFormatting>
  <conditionalFormatting sqref="AM9">
    <cfRule type="expression" dxfId="1079" priority="100">
      <formula>AM9="Data Not Entered On Set-Up Worksheet"</formula>
    </cfRule>
  </conditionalFormatting>
  <conditionalFormatting sqref="AM11:AM12">
    <cfRule type="expression" dxfId="1078" priority="99">
      <formula>AM11="Data Not Entered On Set-Up Worksheet"</formula>
    </cfRule>
  </conditionalFormatting>
  <conditionalFormatting sqref="E19:F40 E44:F44">
    <cfRule type="expression" dxfId="1077" priority="98">
      <formula>AND($A19&lt;&gt;"",E19="")</formula>
    </cfRule>
  </conditionalFormatting>
  <conditionalFormatting sqref="H19:I40 H44:I44">
    <cfRule type="expression" dxfId="1076" priority="97">
      <formula>AND($A19&lt;&gt;"",H19="")</formula>
    </cfRule>
  </conditionalFormatting>
  <conditionalFormatting sqref="N19:O40 N44:O44">
    <cfRule type="expression" dxfId="1075" priority="95">
      <formula>AND($A19&lt;&gt;"",N19="")</formula>
    </cfRule>
  </conditionalFormatting>
  <conditionalFormatting sqref="Q19:R40 Q44:R44">
    <cfRule type="expression" dxfId="1074" priority="94">
      <formula>AND($A19&lt;&gt;"",Q19="")</formula>
    </cfRule>
  </conditionalFormatting>
  <conditionalFormatting sqref="T19:U40 T44:U44">
    <cfRule type="expression" dxfId="1073" priority="93">
      <formula>AND($A19&lt;&gt;"",T19="")</formula>
    </cfRule>
  </conditionalFormatting>
  <conditionalFormatting sqref="C11">
    <cfRule type="expression" dxfId="1072" priority="92">
      <formula>C11="Data Not Entered On Set-Up Worksheet"</formula>
    </cfRule>
  </conditionalFormatting>
  <conditionalFormatting sqref="X3">
    <cfRule type="expression" dxfId="1071" priority="91">
      <formula>X3="Data Not Entered On Set-Up Worksheet"</formula>
    </cfRule>
  </conditionalFormatting>
  <conditionalFormatting sqref="X9">
    <cfRule type="expression" dxfId="1070" priority="90">
      <formula>X9="Data Not Entered On Set-Up Worksheet"</formula>
    </cfRule>
  </conditionalFormatting>
  <conditionalFormatting sqref="X11:X12">
    <cfRule type="expression" dxfId="1069" priority="89">
      <formula>X11="Data Not Entered On Set-Up Worksheet"</formula>
    </cfRule>
  </conditionalFormatting>
  <conditionalFormatting sqref="AA3">
    <cfRule type="expression" dxfId="1068" priority="88">
      <formula>AA3="Data Not Entered On Set-Up Worksheet"</formula>
    </cfRule>
  </conditionalFormatting>
  <conditionalFormatting sqref="AA9">
    <cfRule type="expression" dxfId="1067" priority="87">
      <formula>AA9="Data Not Entered On Set-Up Worksheet"</formula>
    </cfRule>
  </conditionalFormatting>
  <conditionalFormatting sqref="AA11:AA12">
    <cfRule type="expression" dxfId="1066" priority="86">
      <formula>AA11="Data Not Entered On Set-Up Worksheet"</formula>
    </cfRule>
  </conditionalFormatting>
  <conditionalFormatting sqref="AD3">
    <cfRule type="expression" dxfId="1065" priority="85">
      <formula>AD3="Data Not Entered On Set-Up Worksheet"</formula>
    </cfRule>
  </conditionalFormatting>
  <conditionalFormatting sqref="AD9">
    <cfRule type="expression" dxfId="1064" priority="84">
      <formula>AD9="Data Not Entered On Set-Up Worksheet"</formula>
    </cfRule>
  </conditionalFormatting>
  <conditionalFormatting sqref="AD11:AD12">
    <cfRule type="expression" dxfId="1063" priority="83">
      <formula>AD11="Data Not Entered On Set-Up Worksheet"</formula>
    </cfRule>
  </conditionalFormatting>
  <conditionalFormatting sqref="AG3">
    <cfRule type="expression" dxfId="1062" priority="82">
      <formula>AG3="Data Not Entered On Set-Up Worksheet"</formula>
    </cfRule>
  </conditionalFormatting>
  <conditionalFormatting sqref="AG9">
    <cfRule type="expression" dxfId="1061" priority="81">
      <formula>AG9="Data Not Entered On Set-Up Worksheet"</formula>
    </cfRule>
  </conditionalFormatting>
  <conditionalFormatting sqref="AG11:AG12">
    <cfRule type="expression" dxfId="1060" priority="80">
      <formula>AG11="Data Not Entered On Set-Up Worksheet"</formula>
    </cfRule>
  </conditionalFormatting>
  <conditionalFormatting sqref="Z19:AA40 Z44:AA44">
    <cfRule type="expression" dxfId="1059" priority="79">
      <formula>AND($A19&lt;&gt;"",Z19="")</formula>
    </cfRule>
  </conditionalFormatting>
  <conditionalFormatting sqref="AC19:AD40 AC44:AD44">
    <cfRule type="expression" dxfId="1058" priority="78">
      <formula>AND($A19&lt;&gt;"",AC19="")</formula>
    </cfRule>
  </conditionalFormatting>
  <conditionalFormatting sqref="AF19:AG40 AF44:AG44">
    <cfRule type="expression" dxfId="1057" priority="77">
      <formula>AND($A19&lt;&gt;"",AF19="")</formula>
    </cfRule>
  </conditionalFormatting>
  <conditionalFormatting sqref="AJ3">
    <cfRule type="expression" dxfId="1056" priority="76">
      <formula>AJ3="Data Not Entered On Set-Up Worksheet"</formula>
    </cfRule>
  </conditionalFormatting>
  <conditionalFormatting sqref="AJ9">
    <cfRule type="expression" dxfId="1055" priority="75">
      <formula>AJ9="Data Not Entered On Set-Up Worksheet"</formula>
    </cfRule>
  </conditionalFormatting>
  <conditionalFormatting sqref="AJ11:AJ12">
    <cfRule type="expression" dxfId="1054" priority="74">
      <formula>AJ11="Data Not Entered On Set-Up Worksheet"</formula>
    </cfRule>
  </conditionalFormatting>
  <conditionalFormatting sqref="B53:C74 B78:C78">
    <cfRule type="expression" dxfId="1053" priority="73">
      <formula>AND($A53&lt;&gt;"",B53="")</formula>
    </cfRule>
  </conditionalFormatting>
  <conditionalFormatting sqref="E53:F74 E78:F78">
    <cfRule type="expression" dxfId="1052" priority="72">
      <formula>AND($A53&lt;&gt;"",E53="")</formula>
    </cfRule>
  </conditionalFormatting>
  <conditionalFormatting sqref="H53:I74 H78:I78">
    <cfRule type="expression" dxfId="1051" priority="71">
      <formula>AND($A53&lt;&gt;"",H53="")</formula>
    </cfRule>
  </conditionalFormatting>
  <conditionalFormatting sqref="N53:O74 N78:O78">
    <cfRule type="expression" dxfId="1050" priority="70">
      <formula>AND($A53&lt;&gt;"",N53="")</formula>
    </cfRule>
  </conditionalFormatting>
  <conditionalFormatting sqref="Q53:R74 Q78:R78">
    <cfRule type="expression" dxfId="1049" priority="69">
      <formula>AND($A53&lt;&gt;"",Q53="")</formula>
    </cfRule>
  </conditionalFormatting>
  <conditionalFormatting sqref="T53:U74 T78:U78">
    <cfRule type="expression" dxfId="1048" priority="68">
      <formula>AND($A53&lt;&gt;"",T53="")</formula>
    </cfRule>
  </conditionalFormatting>
  <conditionalFormatting sqref="Z53:AA74 Z78:AA78">
    <cfRule type="expression" dxfId="1047" priority="67">
      <formula>AND($A53&lt;&gt;"",Z53="")</formula>
    </cfRule>
  </conditionalFormatting>
  <conditionalFormatting sqref="AC53:AD74 AC78:AD78">
    <cfRule type="expression" dxfId="1046" priority="66">
      <formula>AND($A53&lt;&gt;"",AC53="")</formula>
    </cfRule>
  </conditionalFormatting>
  <conditionalFormatting sqref="AF53:AG74 AF78:AG78">
    <cfRule type="expression" dxfId="1045" priority="65">
      <formula>AND($A53&lt;&gt;"",AF53="")</formula>
    </cfRule>
  </conditionalFormatting>
  <conditionalFormatting sqref="F9:F10">
    <cfRule type="expression" dxfId="1044" priority="64">
      <formula>F9="Data Not Entered On Set-Up Worksheet"</formula>
    </cfRule>
  </conditionalFormatting>
  <conditionalFormatting sqref="AL19:AM40 AL44:AM44">
    <cfRule type="expression" dxfId="1043" priority="63">
      <formula>AND($A19&lt;&gt;"",AL19="")</formula>
    </cfRule>
  </conditionalFormatting>
  <conditionalFormatting sqref="AL53:AM74 AL78:AM78">
    <cfRule type="expression" dxfId="1042" priority="62">
      <formula>AND($A53&lt;&gt;"",AL53="")</formula>
    </cfRule>
  </conditionalFormatting>
  <conditionalFormatting sqref="F11">
    <cfRule type="expression" dxfId="1041" priority="61">
      <formula>F11="Data Not Entered On Set-Up Worksheet"</formula>
    </cfRule>
  </conditionalFormatting>
  <conditionalFormatting sqref="B41:C41">
    <cfRule type="expression" dxfId="1040" priority="60">
      <formula>AND($A41&lt;&gt;"",B41="")</formula>
    </cfRule>
  </conditionalFormatting>
  <conditionalFormatting sqref="E41:F41">
    <cfRule type="expression" dxfId="1039" priority="59">
      <formula>AND($A41&lt;&gt;"",E41="")</formula>
    </cfRule>
  </conditionalFormatting>
  <conditionalFormatting sqref="H41:I41">
    <cfRule type="expression" dxfId="1038" priority="58">
      <formula>AND($A41&lt;&gt;"",H41="")</formula>
    </cfRule>
  </conditionalFormatting>
  <conditionalFormatting sqref="N41:O41">
    <cfRule type="expression" dxfId="1037" priority="57">
      <formula>AND($A41&lt;&gt;"",N41="")</formula>
    </cfRule>
  </conditionalFormatting>
  <conditionalFormatting sqref="Q41:R41">
    <cfRule type="expression" dxfId="1036" priority="56">
      <formula>AND($A41&lt;&gt;"",Q41="")</formula>
    </cfRule>
  </conditionalFormatting>
  <conditionalFormatting sqref="T41:U41">
    <cfRule type="expression" dxfId="1035" priority="55">
      <formula>AND($A41&lt;&gt;"",T41="")</formula>
    </cfRule>
  </conditionalFormatting>
  <conditionalFormatting sqref="Z41:AA41">
    <cfRule type="expression" dxfId="1034" priority="54">
      <formula>AND($A41&lt;&gt;"",Z41="")</formula>
    </cfRule>
  </conditionalFormatting>
  <conditionalFormatting sqref="AC41:AD41">
    <cfRule type="expression" dxfId="1033" priority="53">
      <formula>AND($A41&lt;&gt;"",AC41="")</formula>
    </cfRule>
  </conditionalFormatting>
  <conditionalFormatting sqref="AF41:AG41">
    <cfRule type="expression" dxfId="1032" priority="52">
      <formula>AND($A41&lt;&gt;"",AF41="")</formula>
    </cfRule>
  </conditionalFormatting>
  <conditionalFormatting sqref="AL41:AM41">
    <cfRule type="expression" dxfId="1031" priority="51">
      <formula>AND($A41&lt;&gt;"",AL41="")</formula>
    </cfRule>
  </conditionalFormatting>
  <conditionalFormatting sqref="B75:C75">
    <cfRule type="expression" dxfId="1030" priority="50">
      <formula>AND($A75&lt;&gt;"",B75="")</formula>
    </cfRule>
  </conditionalFormatting>
  <conditionalFormatting sqref="E75:F75">
    <cfRule type="expression" dxfId="1029" priority="49">
      <formula>AND($A75&lt;&gt;"",E75="")</formula>
    </cfRule>
  </conditionalFormatting>
  <conditionalFormatting sqref="H75:I75">
    <cfRule type="expression" dxfId="1028" priority="48">
      <formula>AND($A75&lt;&gt;"",H75="")</formula>
    </cfRule>
  </conditionalFormatting>
  <conditionalFormatting sqref="N75:O75">
    <cfRule type="expression" dxfId="1027" priority="47">
      <formula>AND($A75&lt;&gt;"",N75="")</formula>
    </cfRule>
  </conditionalFormatting>
  <conditionalFormatting sqref="Q75:R75">
    <cfRule type="expression" dxfId="1026" priority="46">
      <formula>AND($A75&lt;&gt;"",Q75="")</formula>
    </cfRule>
  </conditionalFormatting>
  <conditionalFormatting sqref="T75:U75">
    <cfRule type="expression" dxfId="1025" priority="45">
      <formula>AND($A75&lt;&gt;"",T75="")</formula>
    </cfRule>
  </conditionalFormatting>
  <conditionalFormatting sqref="Z75:AA75">
    <cfRule type="expression" dxfId="1024" priority="44">
      <formula>AND($A75&lt;&gt;"",Z75="")</formula>
    </cfRule>
  </conditionalFormatting>
  <conditionalFormatting sqref="AC75:AD75">
    <cfRule type="expression" dxfId="1023" priority="43">
      <formula>AND($A75&lt;&gt;"",AC75="")</formula>
    </cfRule>
  </conditionalFormatting>
  <conditionalFormatting sqref="AF75:AG75">
    <cfRule type="expression" dxfId="1022" priority="42">
      <formula>AND($A75&lt;&gt;"",AF75="")</formula>
    </cfRule>
  </conditionalFormatting>
  <conditionalFormatting sqref="AL75:AM75">
    <cfRule type="expression" dxfId="1021" priority="41">
      <formula>AND($A75&lt;&gt;"",AL75="")</formula>
    </cfRule>
  </conditionalFormatting>
  <conditionalFormatting sqref="B42:C42">
    <cfRule type="expression" dxfId="1020" priority="40">
      <formula>AND($A42&lt;&gt;"",B42="")</formula>
    </cfRule>
  </conditionalFormatting>
  <conditionalFormatting sqref="E42:F42">
    <cfRule type="expression" dxfId="1019" priority="39">
      <formula>AND($A42&lt;&gt;"",E42="")</formula>
    </cfRule>
  </conditionalFormatting>
  <conditionalFormatting sqref="H42:I42">
    <cfRule type="expression" dxfId="1018" priority="38">
      <formula>AND($A42&lt;&gt;"",H42="")</formula>
    </cfRule>
  </conditionalFormatting>
  <conditionalFormatting sqref="N42:O42">
    <cfRule type="expression" dxfId="1017" priority="37">
      <formula>AND($A42&lt;&gt;"",N42="")</formula>
    </cfRule>
  </conditionalFormatting>
  <conditionalFormatting sqref="Q42:R42">
    <cfRule type="expression" dxfId="1016" priority="36">
      <formula>AND($A42&lt;&gt;"",Q42="")</formula>
    </cfRule>
  </conditionalFormatting>
  <conditionalFormatting sqref="T42:U42">
    <cfRule type="expression" dxfId="1015" priority="35">
      <formula>AND($A42&lt;&gt;"",T42="")</formula>
    </cfRule>
  </conditionalFormatting>
  <conditionalFormatting sqref="Z42:AA42">
    <cfRule type="expression" dxfId="1014" priority="34">
      <formula>AND($A42&lt;&gt;"",Z42="")</formula>
    </cfRule>
  </conditionalFormatting>
  <conditionalFormatting sqref="AC42:AD42">
    <cfRule type="expression" dxfId="1013" priority="33">
      <formula>AND($A42&lt;&gt;"",AC42="")</formula>
    </cfRule>
  </conditionalFormatting>
  <conditionalFormatting sqref="AF42:AG42">
    <cfRule type="expression" dxfId="1012" priority="32">
      <formula>AND($A42&lt;&gt;"",AF42="")</formula>
    </cfRule>
  </conditionalFormatting>
  <conditionalFormatting sqref="AL42:AM42">
    <cfRule type="expression" dxfId="1011" priority="31">
      <formula>AND($A42&lt;&gt;"",AL42="")</formula>
    </cfRule>
  </conditionalFormatting>
  <conditionalFormatting sqref="B76:C76">
    <cfRule type="expression" dxfId="1010" priority="30">
      <formula>AND($A76&lt;&gt;"",B76="")</formula>
    </cfRule>
  </conditionalFormatting>
  <conditionalFormatting sqref="E76:F76">
    <cfRule type="expression" dxfId="1009" priority="29">
      <formula>AND($A76&lt;&gt;"",E76="")</formula>
    </cfRule>
  </conditionalFormatting>
  <conditionalFormatting sqref="H76:I76">
    <cfRule type="expression" dxfId="1008" priority="28">
      <formula>AND($A76&lt;&gt;"",H76="")</formula>
    </cfRule>
  </conditionalFormatting>
  <conditionalFormatting sqref="N76:O76">
    <cfRule type="expression" dxfId="1007" priority="27">
      <formula>AND($A76&lt;&gt;"",N76="")</formula>
    </cfRule>
  </conditionalFormatting>
  <conditionalFormatting sqref="Q76:R76">
    <cfRule type="expression" dxfId="1006" priority="26">
      <formula>AND($A76&lt;&gt;"",Q76="")</formula>
    </cfRule>
  </conditionalFormatting>
  <conditionalFormatting sqref="T76:U76">
    <cfRule type="expression" dxfId="1005" priority="25">
      <formula>AND($A76&lt;&gt;"",T76="")</formula>
    </cfRule>
  </conditionalFormatting>
  <conditionalFormatting sqref="Z76:AA76">
    <cfRule type="expression" dxfId="1004" priority="24">
      <formula>AND($A76&lt;&gt;"",Z76="")</formula>
    </cfRule>
  </conditionalFormatting>
  <conditionalFormatting sqref="AC76:AD76">
    <cfRule type="expression" dxfId="1003" priority="23">
      <formula>AND($A76&lt;&gt;"",AC76="")</formula>
    </cfRule>
  </conditionalFormatting>
  <conditionalFormatting sqref="AF76:AG76">
    <cfRule type="expression" dxfId="1002" priority="22">
      <formula>AND($A76&lt;&gt;"",AF76="")</formula>
    </cfRule>
  </conditionalFormatting>
  <conditionalFormatting sqref="AL76:AM76">
    <cfRule type="expression" dxfId="1001" priority="21">
      <formula>AND($A76&lt;&gt;"",AL76="")</formula>
    </cfRule>
  </conditionalFormatting>
  <conditionalFormatting sqref="B43:C43">
    <cfRule type="expression" dxfId="1000" priority="20">
      <formula>AND($A43&lt;&gt;"",B43="")</formula>
    </cfRule>
  </conditionalFormatting>
  <conditionalFormatting sqref="E43:F43">
    <cfRule type="expression" dxfId="999" priority="19">
      <formula>AND($A43&lt;&gt;"",E43="")</formula>
    </cfRule>
  </conditionalFormatting>
  <conditionalFormatting sqref="H43:I43">
    <cfRule type="expression" dxfId="998" priority="18">
      <formula>AND($A43&lt;&gt;"",H43="")</formula>
    </cfRule>
  </conditionalFormatting>
  <conditionalFormatting sqref="N43:O43">
    <cfRule type="expression" dxfId="997" priority="17">
      <formula>AND($A43&lt;&gt;"",N43="")</formula>
    </cfRule>
  </conditionalFormatting>
  <conditionalFormatting sqref="Q43:R43">
    <cfRule type="expression" dxfId="996" priority="16">
      <formula>AND($A43&lt;&gt;"",Q43="")</formula>
    </cfRule>
  </conditionalFormatting>
  <conditionalFormatting sqref="T43:U43">
    <cfRule type="expression" dxfId="995" priority="15">
      <formula>AND($A43&lt;&gt;"",T43="")</formula>
    </cfRule>
  </conditionalFormatting>
  <conditionalFormatting sqref="Z43:AA43">
    <cfRule type="expression" dxfId="994" priority="14">
      <formula>AND($A43&lt;&gt;"",Z43="")</formula>
    </cfRule>
  </conditionalFormatting>
  <conditionalFormatting sqref="AC43:AD43">
    <cfRule type="expression" dxfId="993" priority="13">
      <formula>AND($A43&lt;&gt;"",AC43="")</formula>
    </cfRule>
  </conditionalFormatting>
  <conditionalFormatting sqref="AF43:AG43">
    <cfRule type="expression" dxfId="992" priority="12">
      <formula>AND($A43&lt;&gt;"",AF43="")</formula>
    </cfRule>
  </conditionalFormatting>
  <conditionalFormatting sqref="AL43:AM43">
    <cfRule type="expression" dxfId="991" priority="11">
      <formula>AND($A43&lt;&gt;"",AL43="")</formula>
    </cfRule>
  </conditionalFormatting>
  <conditionalFormatting sqref="B77:C77">
    <cfRule type="expression" dxfId="990" priority="10">
      <formula>AND($A77&lt;&gt;"",B77="")</formula>
    </cfRule>
  </conditionalFormatting>
  <conditionalFormatting sqref="E77:F77">
    <cfRule type="expression" dxfId="989" priority="9">
      <formula>AND($A77&lt;&gt;"",E77="")</formula>
    </cfRule>
  </conditionalFormatting>
  <conditionalFormatting sqref="H77:I77">
    <cfRule type="expression" dxfId="988" priority="8">
      <formula>AND($A77&lt;&gt;"",H77="")</formula>
    </cfRule>
  </conditionalFormatting>
  <conditionalFormatting sqref="N77:O77">
    <cfRule type="expression" dxfId="987" priority="7">
      <formula>AND($A77&lt;&gt;"",N77="")</formula>
    </cfRule>
  </conditionalFormatting>
  <conditionalFormatting sqref="Q77:R77">
    <cfRule type="expression" dxfId="986" priority="6">
      <formula>AND($A77&lt;&gt;"",Q77="")</formula>
    </cfRule>
  </conditionalFormatting>
  <conditionalFormatting sqref="T77:U77">
    <cfRule type="expression" dxfId="985" priority="5">
      <formula>AND($A77&lt;&gt;"",T77="")</formula>
    </cfRule>
  </conditionalFormatting>
  <conditionalFormatting sqref="Z77:AA77">
    <cfRule type="expression" dxfId="984" priority="4">
      <formula>AND($A77&lt;&gt;"",Z77="")</formula>
    </cfRule>
  </conditionalFormatting>
  <conditionalFormatting sqref="AC77:AD77">
    <cfRule type="expression" dxfId="983" priority="3">
      <formula>AND($A77&lt;&gt;"",AC77="")</formula>
    </cfRule>
  </conditionalFormatting>
  <conditionalFormatting sqref="AF77:AG77">
    <cfRule type="expression" dxfId="982" priority="2">
      <formula>AND($A77&lt;&gt;"",AF77="")</formula>
    </cfRule>
  </conditionalFormatting>
  <conditionalFormatting sqref="AL77:AM77">
    <cfRule type="expression" dxfId="981" priority="1">
      <formula>AND($A77&lt;&gt;"",AL77="")</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6" max="16383" man="1"/>
  </rowBreaks>
  <colBreaks count="1" manualBreakCount="1">
    <brk id="1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AZ81"/>
  <sheetViews>
    <sheetView showGridLines="0" workbookViewId="0">
      <pane xSplit="1" ySplit="18" topLeftCell="B19" activePane="bottomRight" state="frozen"/>
      <selection activeCell="O56" sqref="O56"/>
      <selection pane="topRight" activeCell="O56" sqref="O56"/>
      <selection pane="bottomLeft" activeCell="O56" sqref="O56"/>
      <selection pane="bottomRight" activeCell="B19" sqref="B19"/>
    </sheetView>
  </sheetViews>
  <sheetFormatPr defaultRowHeight="12.75"/>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c r="A1" s="35" t="s">
        <v>23</v>
      </c>
      <c r="N1" s="30" t="s">
        <v>254</v>
      </c>
      <c r="Z1" s="30" t="s">
        <v>254</v>
      </c>
      <c r="AL1" s="30" t="s">
        <v>254</v>
      </c>
    </row>
    <row r="2" spans="1:52" ht="15" customHeight="1">
      <c r="A2" s="35" t="s">
        <v>187</v>
      </c>
      <c r="N2" s="214" t="s">
        <v>255</v>
      </c>
      <c r="Z2" s="214" t="s">
        <v>255</v>
      </c>
      <c r="AL2" s="214" t="s">
        <v>255</v>
      </c>
    </row>
    <row r="3" spans="1:52" ht="15" customHeight="1">
      <c r="A3" s="30" t="s">
        <v>185</v>
      </c>
      <c r="C3" s="138">
        <f>IF('Set-Up Worksheet'!F3="","Data Not Entered On Set-Up Worksheet",'Set-Up Worksheet'!F3)</f>
        <v>2021</v>
      </c>
      <c r="F3" s="37"/>
      <c r="I3" s="37"/>
      <c r="L3" s="37"/>
      <c r="O3" s="138">
        <f t="shared" ref="O3:O11" si="0">C3</f>
        <v>2021</v>
      </c>
      <c r="R3" s="37"/>
      <c r="U3" s="37"/>
      <c r="X3" s="37"/>
      <c r="AA3" s="138">
        <f t="shared" ref="AA3:AA11" si="1">C3</f>
        <v>2021</v>
      </c>
      <c r="AD3" s="37"/>
      <c r="AG3" s="37"/>
      <c r="AJ3" s="37"/>
      <c r="AM3" s="138">
        <f t="shared" ref="AM3:AM11" si="2">C3</f>
        <v>2021</v>
      </c>
    </row>
    <row r="4" spans="1:52" ht="15" customHeight="1">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c r="A5" s="30"/>
      <c r="C5" s="32"/>
      <c r="F5" s="32"/>
      <c r="I5" s="32"/>
      <c r="L5" s="32"/>
      <c r="O5" s="38"/>
      <c r="R5" s="32"/>
      <c r="U5" s="32"/>
      <c r="X5" s="32"/>
      <c r="AA5" s="38"/>
      <c r="AD5" s="32"/>
      <c r="AG5" s="32"/>
      <c r="AJ5" s="32"/>
      <c r="AM5" s="38"/>
    </row>
    <row r="6" spans="1:52" ht="15" customHeight="1">
      <c r="A6" s="30" t="s">
        <v>192</v>
      </c>
      <c r="C6" s="32"/>
      <c r="F6" s="32"/>
      <c r="I6" s="32"/>
      <c r="L6" s="32"/>
      <c r="N6" s="30"/>
      <c r="O6" s="38"/>
      <c r="R6" s="32"/>
      <c r="U6" s="32"/>
      <c r="X6" s="32"/>
      <c r="Z6" s="30"/>
      <c r="AA6" s="38"/>
      <c r="AD6" s="32"/>
      <c r="AG6" s="32"/>
      <c r="AJ6" s="32"/>
      <c r="AL6" s="30"/>
      <c r="AM6" s="38"/>
    </row>
    <row r="7" spans="1:52" ht="15" customHeight="1">
      <c r="A7" s="30" t="s">
        <v>305</v>
      </c>
      <c r="C7" s="32"/>
      <c r="F7" s="32"/>
      <c r="I7" s="32"/>
      <c r="L7" s="32"/>
      <c r="N7" s="214" t="s">
        <v>258</v>
      </c>
      <c r="O7" s="38"/>
      <c r="R7" s="32"/>
      <c r="U7" s="32"/>
      <c r="X7" s="32"/>
      <c r="Z7" s="214" t="s">
        <v>258</v>
      </c>
      <c r="AA7" s="38"/>
      <c r="AD7" s="32"/>
      <c r="AG7" s="32"/>
      <c r="AJ7" s="32"/>
      <c r="AL7" s="214" t="s">
        <v>258</v>
      </c>
      <c r="AM7" s="38"/>
    </row>
    <row r="8" spans="1:52" ht="15" customHeight="1">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c r="A11" s="30" t="s">
        <v>188</v>
      </c>
      <c r="C11" s="39" t="str">
        <f>IF(C4="Data Not Entered On Set-Up Worksheet","Data Not Entered On Set-Up Worksheet",IF(C4="1st Quarter",'Report Schedule'!D13,IF(C4="2nd Quarter",'Report Schedule'!E13,IF(C4="3rd Quarter",'Report Schedule'!F13,IF(C4="4th Quarter",'Report Schedule'!G13,"")))))</f>
        <v>Apr - Jun 2020</v>
      </c>
      <c r="F11" s="76" t="s">
        <v>253</v>
      </c>
      <c r="I11" s="204"/>
      <c r="L11" s="204"/>
      <c r="O11" s="39" t="str">
        <f t="shared" si="0"/>
        <v>Apr - Jun 2020</v>
      </c>
      <c r="R11" s="39"/>
      <c r="U11" s="39"/>
      <c r="X11" s="39"/>
      <c r="AA11" s="39" t="str">
        <f t="shared" si="1"/>
        <v>Apr - Jun 2020</v>
      </c>
      <c r="AD11" s="39"/>
      <c r="AG11" s="39"/>
      <c r="AJ11" s="39"/>
      <c r="AM11" s="39" t="str">
        <f t="shared" si="2"/>
        <v>Apr - Jun 2020</v>
      </c>
    </row>
    <row r="12" spans="1:52" ht="15" customHeight="1">
      <c r="A12" s="30"/>
      <c r="C12" s="39"/>
      <c r="F12" s="76"/>
      <c r="I12" s="39"/>
      <c r="L12" s="39"/>
      <c r="O12" s="39"/>
      <c r="R12" s="39"/>
      <c r="U12" s="39"/>
      <c r="X12" s="39"/>
      <c r="AA12" s="39"/>
      <c r="AD12" s="39"/>
      <c r="AG12" s="39"/>
      <c r="AJ12" s="39"/>
      <c r="AM12" s="39"/>
    </row>
    <row r="13" spans="1:52" ht="20.100000000000001" customHeight="1">
      <c r="A13" s="205" t="s">
        <v>233</v>
      </c>
      <c r="B13" s="159" t="str">
        <f>"Measurement Period:  "&amp;$C$11</f>
        <v>Measurement Period:  Apr - Jun 2020</v>
      </c>
      <c r="C13" s="159"/>
      <c r="D13" s="159"/>
      <c r="E13" s="159"/>
      <c r="F13" s="159"/>
      <c r="G13" s="159"/>
      <c r="H13" s="159"/>
      <c r="I13" s="159"/>
      <c r="J13" s="159"/>
      <c r="K13" s="159"/>
      <c r="L13" s="159"/>
      <c r="M13" s="159"/>
      <c r="N13" s="159" t="str">
        <f>"Measurement Period:  "&amp;$C$11</f>
        <v>Measurement Period:  Apr - Jun 2020</v>
      </c>
      <c r="O13" s="159"/>
      <c r="P13" s="159"/>
      <c r="Q13" s="159"/>
      <c r="R13" s="159"/>
      <c r="S13" s="159"/>
      <c r="T13" s="159"/>
      <c r="U13" s="159"/>
      <c r="V13" s="159"/>
      <c r="W13" s="159"/>
      <c r="X13" s="159"/>
      <c r="Y13" s="159"/>
      <c r="Z13" s="159" t="str">
        <f>"Measurement Period:  "&amp;$C$11</f>
        <v>Measurement Period:  Apr - Jun 2020</v>
      </c>
      <c r="AA13" s="159"/>
      <c r="AB13" s="159"/>
      <c r="AC13" s="159"/>
      <c r="AD13" s="159"/>
      <c r="AE13" s="159"/>
      <c r="AF13" s="159"/>
      <c r="AG13" s="159"/>
      <c r="AH13" s="159"/>
      <c r="AI13" s="159"/>
      <c r="AJ13" s="159"/>
      <c r="AK13" s="159"/>
      <c r="AL13" s="159" t="str">
        <f>"Measurement Period:  "&amp;$C$11</f>
        <v>Measurement Period:  Apr - Jun 2020</v>
      </c>
      <c r="AM13" s="43"/>
      <c r="AN13" s="43"/>
    </row>
    <row r="14" spans="1:52" ht="13.5" thickBot="1"/>
    <row r="15" spans="1:52" ht="18" customHeight="1" thickBot="1">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c r="A16" s="149" t="s">
        <v>200</v>
      </c>
      <c r="B16" s="150" t="s">
        <v>194</v>
      </c>
      <c r="C16" s="153"/>
      <c r="D16" s="154"/>
      <c r="E16" s="60" t="s">
        <v>141</v>
      </c>
      <c r="F16" s="61"/>
      <c r="G16" s="62"/>
      <c r="H16" s="60" t="s">
        <v>225</v>
      </c>
      <c r="I16" s="61"/>
      <c r="J16" s="62"/>
      <c r="K16" s="60" t="s">
        <v>226</v>
      </c>
      <c r="L16" s="61"/>
      <c r="M16" s="62"/>
      <c r="N16" s="150" t="s">
        <v>194</v>
      </c>
      <c r="O16" s="153"/>
      <c r="P16" s="154"/>
      <c r="Q16" s="60" t="s">
        <v>141</v>
      </c>
      <c r="R16" s="61"/>
      <c r="S16" s="62"/>
      <c r="T16" s="60" t="s">
        <v>225</v>
      </c>
      <c r="U16" s="61"/>
      <c r="V16" s="62"/>
      <c r="W16" s="60" t="s">
        <v>226</v>
      </c>
      <c r="X16" s="61"/>
      <c r="Y16" s="62"/>
      <c r="Z16" s="150" t="s">
        <v>194</v>
      </c>
      <c r="AA16" s="153"/>
      <c r="AB16" s="154"/>
      <c r="AC16" s="60" t="s">
        <v>141</v>
      </c>
      <c r="AD16" s="61"/>
      <c r="AE16" s="62"/>
      <c r="AF16" s="60" t="s">
        <v>225</v>
      </c>
      <c r="AG16" s="61"/>
      <c r="AH16" s="62"/>
      <c r="AI16" s="60" t="s">
        <v>226</v>
      </c>
      <c r="AJ16" s="61"/>
      <c r="AK16" s="62"/>
      <c r="AL16" s="150" t="s">
        <v>227</v>
      </c>
      <c r="AM16" s="153"/>
      <c r="AN16" s="154"/>
    </row>
    <row r="17" spans="1:46" s="34" customFormat="1" ht="13.5" thickBot="1">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50000000000003" customHeight="1">
      <c r="A18" s="72" t="s">
        <v>38</v>
      </c>
      <c r="B18" s="155" t="s">
        <v>347</v>
      </c>
      <c r="C18" s="156" t="s">
        <v>209</v>
      </c>
      <c r="D18" s="157" t="s">
        <v>348</v>
      </c>
      <c r="E18" s="63" t="s">
        <v>347</v>
      </c>
      <c r="F18" s="64" t="s">
        <v>209</v>
      </c>
      <c r="G18" s="65" t="s">
        <v>348</v>
      </c>
      <c r="H18" s="63" t="s">
        <v>347</v>
      </c>
      <c r="I18" s="64" t="s">
        <v>209</v>
      </c>
      <c r="J18" s="65" t="s">
        <v>348</v>
      </c>
      <c r="K18" s="63" t="s">
        <v>347</v>
      </c>
      <c r="L18" s="64" t="s">
        <v>209</v>
      </c>
      <c r="M18" s="65" t="s">
        <v>348</v>
      </c>
      <c r="N18" s="155" t="s">
        <v>347</v>
      </c>
      <c r="O18" s="156" t="s">
        <v>209</v>
      </c>
      <c r="P18" s="157" t="s">
        <v>348</v>
      </c>
      <c r="Q18" s="63" t="s">
        <v>347</v>
      </c>
      <c r="R18" s="64" t="s">
        <v>209</v>
      </c>
      <c r="S18" s="65" t="s">
        <v>348</v>
      </c>
      <c r="T18" s="63" t="s">
        <v>347</v>
      </c>
      <c r="U18" s="64" t="s">
        <v>209</v>
      </c>
      <c r="V18" s="65" t="s">
        <v>348</v>
      </c>
      <c r="W18" s="63" t="s">
        <v>347</v>
      </c>
      <c r="X18" s="64" t="s">
        <v>209</v>
      </c>
      <c r="Y18" s="65" t="s">
        <v>348</v>
      </c>
      <c r="Z18" s="155" t="s">
        <v>347</v>
      </c>
      <c r="AA18" s="156" t="s">
        <v>209</v>
      </c>
      <c r="AB18" s="157" t="s">
        <v>348</v>
      </c>
      <c r="AC18" s="63" t="s">
        <v>347</v>
      </c>
      <c r="AD18" s="64" t="s">
        <v>209</v>
      </c>
      <c r="AE18" s="65" t="s">
        <v>348</v>
      </c>
      <c r="AF18" s="63" t="s">
        <v>347</v>
      </c>
      <c r="AG18" s="64" t="s">
        <v>209</v>
      </c>
      <c r="AH18" s="65" t="s">
        <v>348</v>
      </c>
      <c r="AI18" s="63" t="s">
        <v>347</v>
      </c>
      <c r="AJ18" s="64" t="s">
        <v>209</v>
      </c>
      <c r="AK18" s="65" t="s">
        <v>348</v>
      </c>
      <c r="AL18" s="155" t="s">
        <v>205</v>
      </c>
      <c r="AM18" s="156" t="s">
        <v>209</v>
      </c>
      <c r="AN18" s="157" t="s">
        <v>206</v>
      </c>
    </row>
    <row r="19" spans="1:46" ht="18" customHeight="1">
      <c r="A19" s="73" t="str">
        <f>IF($C$9="Data Not Entered On Set-Up Worksheet","",IF(OR(VLOOKUP($C$9,County_Lookup,2,FALSE)="",VLOOKUP($C$9,County_Lookup,2,FALSE)=0),"",VLOOKUP($C$9,County_Lookup,2,FALSE)))</f>
        <v/>
      </c>
      <c r="B19" s="66"/>
      <c r="C19" s="59" t="str">
        <f t="shared" ref="C19:C45" si="3">IF(OR($A19="",$A19="Other"),"",IF(OR(AND($C$3=2021,$C$4&lt;&gt;"1st Quarter"),AND($C$3=2022,$C$4="1st Quarter")),VLOOKUP($A19,Uninsured_SFY2021,15,FALSE),IF(OR(AND($C$3=2020,$C$4&lt;&gt;"1st Quarter"),AND($C$3=2021,$C$4="1st Quarter")),VLOOKUP($A19,Uninsured_SFY2020,15,FALSE),"Update Lookup")))</f>
        <v/>
      </c>
      <c r="D19" s="67" t="str">
        <f>IF(OR($A19="",$A19="Other"),"",IF(C19=0,0,B19/C19))</f>
        <v/>
      </c>
      <c r="E19" s="66"/>
      <c r="F19" s="59" t="str">
        <f t="shared" ref="F19:F45" si="4">IF(OR($A19="",$A19="Other"),"",IF(OR(AND($C$3=2021,$C$4&lt;&gt;"1st Quarter"),AND($C$3=2022,$C$4="1st Quarter")),VLOOKUP($A19,Uninsured_SFY2021,16,FALSE),IF(OR(AND($C$3=2020,$C$4&lt;&gt;"1st Quarter"),AND($C$3=2021,$C$4="1st Quarter")),VLOOKUP($A19,Uninsured_SFY2020,16,FALSE),"Update Lookup")))</f>
        <v/>
      </c>
      <c r="G19" s="67" t="str">
        <f>IF(OR($A19="",$A19="Other"),"",IF(F19=0,0,E19/F19))</f>
        <v/>
      </c>
      <c r="H19" s="66"/>
      <c r="I19" s="59" t="str">
        <f t="shared" ref="I19:I45" si="5">IF(OR($A19="",$A19="Other"),"",IF(OR(AND($C$3=2021,$C$4&lt;&gt;"1st Quarter"),AND($C$3=2022,$C$4="1st Quarter")),VLOOKUP($A19,Uninsured_SFY2021,17,FALSE),IF(OR(AND($C$3=2020,$C$4&lt;&gt;"1st Quarter"),AND($C$3=2021,$C$4="1st Quarter")),VLOOKUP($A19,Uninsured_SFY2020,17,FALSE),"Update Lookup")))</f>
        <v/>
      </c>
      <c r="J19" s="67" t="str">
        <f>IF(OR($A19="",$A19="Other"),"",IF(I19=0,0,H19/I19))</f>
        <v/>
      </c>
      <c r="K19" s="71" t="str">
        <f>IF($A19="","",SUM(E19,H19))</f>
        <v/>
      </c>
      <c r="L19" s="59" t="str">
        <f>IF(OR($A19="",$A19="Other"),"",SUM(F19,I19))</f>
        <v/>
      </c>
      <c r="M19" s="67" t="str">
        <f t="shared" ref="M19:M45" si="6">IF(OR($A19="",$A19="Other"),"",IF(L19=0,0,K19/L19))</f>
        <v/>
      </c>
      <c r="N19" s="66"/>
      <c r="O19" s="59" t="str">
        <f t="shared" ref="O19:O45" si="7">IF(OR($A19="",$A19="Other"),"",IF(OR(AND($C$3=2021,$C$4&lt;&gt;"1st Quarter"),AND($C$3=2022,$C$4="1st Quarter")),VLOOKUP($A19,Uninsured_SFY2021,15,FALSE),IF(OR(AND($C$3=2020,$C$4&lt;&gt;"1st Quarter"),AND($C$3=2021,$C$4="1st Quarter")),VLOOKUP($A19,Uninsured_SFY2020,15,FALSE),"Update Lookup")))</f>
        <v/>
      </c>
      <c r="P19" s="67" t="str">
        <f t="shared" ref="P19:P45" si="8">IF(OR($A19="",$A19="Other"),"",IF(O19=0,0,N19/O19))</f>
        <v/>
      </c>
      <c r="Q19" s="66"/>
      <c r="R19" s="59" t="str">
        <f t="shared" ref="R19:R45" si="9">IF(OR($A19="",$A19="Other"),"",IF(OR(AND($C$3=2021,$C$4&lt;&gt;"1st Quarter"),AND($C$3=2022,$C$4="1st Quarter")),VLOOKUP($A19,Uninsured_SFY2021,16,FALSE),IF(OR(AND($C$3=2020,$C$4&lt;&gt;"1st Quarter"),AND($C$3=2021,$C$4="1st Quarter")),VLOOKUP($A19,Uninsured_SFY2020,16,FALSE),"Update Lookup")))</f>
        <v/>
      </c>
      <c r="S19" s="67" t="str">
        <f t="shared" ref="S19:S45" si="10">IF(OR($A19="",$A19="Other"),"",IF(R19=0,0,Q19/R19))</f>
        <v/>
      </c>
      <c r="T19" s="66"/>
      <c r="U19" s="59" t="str">
        <f t="shared" ref="U19:U45" si="11">IF(OR($A19="",$A19="Other"),"",IF(OR(AND($C$3=2021,$C$4&lt;&gt;"1st Quarter"),AND($C$3=2022,$C$4="1st Quarter")),VLOOKUP($A19,Uninsured_SFY2021,17,FALSE),IF(OR(AND($C$3=2020,$C$4&lt;&gt;"1st Quarter"),AND($C$3=2021,$C$4="1st Quarter")),VLOOKUP($A19,Uninsured_SFY2020,17,FALSE),"Update Lookup")))</f>
        <v/>
      </c>
      <c r="V19" s="67" t="str">
        <f t="shared" ref="V19:V45" si="12">IF(OR($A19="",$A19="Other"),"",IF(U19=0,0,T19/U19))</f>
        <v/>
      </c>
      <c r="W19" s="71" t="str">
        <f>IF($A19="","",SUM(Q19,T19))</f>
        <v/>
      </c>
      <c r="X19" s="59" t="str">
        <f>IF(OR($A19="",$A19="Other"),"",SUM(R19,U19))</f>
        <v/>
      </c>
      <c r="Y19" s="67" t="str">
        <f t="shared" ref="Y19:Y45" si="13">IF(OR($A19="",$A19="Other"),"",IF(X19=0,0,W19/X19))</f>
        <v/>
      </c>
      <c r="Z19" s="66"/>
      <c r="AA19" s="59" t="str">
        <f t="shared" ref="AA19:AA45" si="14">IF(OR($A19="",$A19="Other"),"",IF(OR(AND($C$3=2021,$C$4&lt;&gt;"1st Quarter"),AND($C$3=2022,$C$4="1st Quarter")),VLOOKUP($A19,Uninsured_SFY2021,15,FALSE),IF(OR(AND($C$3=2020,$C$4&lt;&gt;"1st Quarter"),AND($C$3=2021,$C$4="1st Quarter")),VLOOKUP($A19,Uninsured_SFY2020,15,FALSE),"Update Lookup")))</f>
        <v/>
      </c>
      <c r="AB19" s="67" t="str">
        <f t="shared" ref="AB19:AB45" si="15">IF(OR($A19="",$A19="Other"),"",IF(AA19=0,0,Z19/AA19))</f>
        <v/>
      </c>
      <c r="AC19" s="66"/>
      <c r="AD19" s="59" t="str">
        <f t="shared" ref="AD19:AD45" si="16">IF(OR($A19="",$A19="Other"),"",IF(OR(AND($C$3=2021,$C$4&lt;&gt;"1st Quarter"),AND($C$3=2022,$C$4="1st Quarter")),VLOOKUP($A19,Uninsured_SFY2021,16,FALSE),IF(OR(AND($C$3=2020,$C$4&lt;&gt;"1st Quarter"),AND($C$3=2021,$C$4="1st Quarter")),VLOOKUP($A19,Uninsured_SFY2020,16,FALSE),"Update Lookup")))</f>
        <v/>
      </c>
      <c r="AE19" s="67" t="str">
        <f t="shared" ref="AE19:AE45" si="17">IF(OR($A19="",$A19="Other"),"",IF(AD19=0,0,AC19/AD19))</f>
        <v/>
      </c>
      <c r="AF19" s="66"/>
      <c r="AG19" s="59" t="str">
        <f t="shared" ref="AG19:AG45" si="18">IF(OR($A19="",$A19="Other"),"",IF(OR(AND($C$3=2021,$C$4&lt;&gt;"1st Quarter"),AND($C$3=2022,$C$4="1st Quarter")),VLOOKUP($A19,Uninsured_SFY2021,17,FALSE),IF(OR(AND($C$3=2020,$C$4&lt;&gt;"1st Quarter"),AND($C$3=2021,$C$4="1st Quarter")),VLOOKUP($A19,Uninsured_SFY2020,17,FALSE),"Update Lookup")))</f>
        <v/>
      </c>
      <c r="AH19" s="67" t="str">
        <f t="shared" ref="AH19:AH45" si="19">IF(OR($A19="",$A19="Other"),"",IF(AG19=0,0,AF19/AG19))</f>
        <v/>
      </c>
      <c r="AI19" s="71" t="str">
        <f>IF($A19="","",SUM(AC19,AF19))</f>
        <v/>
      </c>
      <c r="AJ19" s="59" t="str">
        <f t="shared" ref="AJ19:AJ45" si="20">IF(OR($A19="",$A19="Other"),"",SUM(AD19,AG19))</f>
        <v/>
      </c>
      <c r="AK19" s="67" t="str">
        <f t="shared" ref="AK19:AK45" si="21">IF(OR($A19="",$A19="Other"),"",IF(AJ19=0,0,AI19/AJ19))</f>
        <v/>
      </c>
      <c r="AL19" s="66"/>
      <c r="AM19" s="59" t="str">
        <f t="shared" ref="AM19:AM45" si="22">IF(OR($A19="",$A19="Other"),"",IF(OR(AND($C$3=2021,$C$4&lt;&gt;"1st Quarter"),AND($C$3=2022,$C$4="1st Quarter")),VLOOKUP($A19,Uninsured_SFY2021,19,FALSE),IF(OR(AND($C$3=2020,$C$4&lt;&gt;"1st Quarter"),AND($C$3=2021,$C$4="1st Quarter")),VLOOKUP($A19,Uninsured_SFY2020,19,FALSE),"Update Lookup")))</f>
        <v/>
      </c>
      <c r="AN19" s="67" t="str">
        <f t="shared" ref="AN19:AN45" si="23">IF(OR($A19="",$A19="Other"),"",IF(AM19=0,0,AL19/AM19))</f>
        <v/>
      </c>
    </row>
    <row r="20" spans="1:46" ht="18" customHeight="1">
      <c r="A20" s="74" t="str">
        <f>IF($C$9="Data Not Entered On Set-Up Worksheet","",IF(OR(VLOOKUP($C$9,County_Lookup,3,FALSE)="",VLOOKUP($C$9,County_Lookup,3,FALSE)=0),"",VLOOKUP($C$9,County_Lookup,3,FALSE)))</f>
        <v/>
      </c>
      <c r="B20" s="66"/>
      <c r="C20" s="59" t="str">
        <f t="shared" si="3"/>
        <v/>
      </c>
      <c r="D20" s="67" t="str">
        <f t="shared" ref="D20:D45" si="24">IF(OR($A20="",$A20="Other"),"",IF(C20=0,0,B20/C20))</f>
        <v/>
      </c>
      <c r="E20" s="66"/>
      <c r="F20" s="59" t="str">
        <f t="shared" si="4"/>
        <v/>
      </c>
      <c r="G20" s="67" t="str">
        <f t="shared" ref="G20:G45" si="25">IF(OR($A20="",$A20="Other"),"",IF(F20=0,0,E20/F20))</f>
        <v/>
      </c>
      <c r="H20" s="66"/>
      <c r="I20" s="59" t="str">
        <f t="shared" si="5"/>
        <v/>
      </c>
      <c r="J20" s="67" t="str">
        <f t="shared" ref="J20:J45" si="26">IF(OR($A20="",$A20="Other"),"",IF(I20=0,0,H20/I20))</f>
        <v/>
      </c>
      <c r="K20" s="71" t="str">
        <f t="shared" ref="K20:K45" si="27">IF($A20="","",SUM(E20,H20))</f>
        <v/>
      </c>
      <c r="L20" s="59" t="str">
        <f t="shared" ref="L20:L45" si="28">IF(OR($A20="",$A20="Other"),"",SUM(F20,I20))</f>
        <v/>
      </c>
      <c r="M20" s="67" t="str">
        <f t="shared" si="6"/>
        <v/>
      </c>
      <c r="N20" s="66"/>
      <c r="O20" s="59" t="str">
        <f t="shared" si="7"/>
        <v/>
      </c>
      <c r="P20" s="67" t="str">
        <f t="shared" si="8"/>
        <v/>
      </c>
      <c r="Q20" s="66"/>
      <c r="R20" s="59" t="str">
        <f t="shared" si="9"/>
        <v/>
      </c>
      <c r="S20" s="67" t="str">
        <f t="shared" si="10"/>
        <v/>
      </c>
      <c r="T20" s="66"/>
      <c r="U20" s="59" t="str">
        <f t="shared" si="11"/>
        <v/>
      </c>
      <c r="V20" s="67" t="str">
        <f t="shared" si="12"/>
        <v/>
      </c>
      <c r="W20" s="71" t="str">
        <f t="shared" ref="W20:W45" si="29">IF($A20="","",SUM(Q20,T20))</f>
        <v/>
      </c>
      <c r="X20" s="59" t="str">
        <f t="shared" ref="X20:X45" si="30">IF(OR($A20="",$A20="Other"),"",SUM(R20,U20))</f>
        <v/>
      </c>
      <c r="Y20" s="67" t="str">
        <f t="shared" si="13"/>
        <v/>
      </c>
      <c r="Z20" s="66"/>
      <c r="AA20" s="59" t="str">
        <f t="shared" si="14"/>
        <v/>
      </c>
      <c r="AB20" s="67" t="str">
        <f t="shared" si="15"/>
        <v/>
      </c>
      <c r="AC20" s="66"/>
      <c r="AD20" s="59" t="str">
        <f t="shared" si="16"/>
        <v/>
      </c>
      <c r="AE20" s="67" t="str">
        <f t="shared" si="17"/>
        <v/>
      </c>
      <c r="AF20" s="66"/>
      <c r="AG20" s="59" t="str">
        <f t="shared" si="18"/>
        <v/>
      </c>
      <c r="AH20" s="67" t="str">
        <f t="shared" si="19"/>
        <v/>
      </c>
      <c r="AI20" s="71" t="str">
        <f t="shared" ref="AI20:AI45" si="31">IF($A20="","",SUM(AC20,AF20))</f>
        <v/>
      </c>
      <c r="AJ20" s="59" t="str">
        <f t="shared" si="20"/>
        <v/>
      </c>
      <c r="AK20" s="67" t="str">
        <f t="shared" si="21"/>
        <v/>
      </c>
      <c r="AL20" s="66"/>
      <c r="AM20" s="59" t="str">
        <f t="shared" si="22"/>
        <v/>
      </c>
      <c r="AN20" s="67" t="str">
        <f t="shared" si="23"/>
        <v/>
      </c>
    </row>
    <row r="21" spans="1:46" ht="18" customHeight="1">
      <c r="A21" s="74" t="str">
        <f>IF($C$9="Data Not Entered On Set-Up Worksheet","",IF(OR(VLOOKUP($C$9,County_Lookup,4,FALSE)="",VLOOKUP($C$9,County_Lookup,4,FALSE)=0),"",VLOOKUP($C$9,County_Lookup,4,FALSE)))</f>
        <v/>
      </c>
      <c r="B21" s="66"/>
      <c r="C21" s="59" t="str">
        <f t="shared" si="3"/>
        <v/>
      </c>
      <c r="D21" s="67" t="str">
        <f t="shared" si="24"/>
        <v/>
      </c>
      <c r="E21" s="66"/>
      <c r="F21" s="59" t="str">
        <f t="shared" si="4"/>
        <v/>
      </c>
      <c r="G21" s="67" t="str">
        <f t="shared" si="25"/>
        <v/>
      </c>
      <c r="H21" s="66"/>
      <c r="I21" s="59" t="str">
        <f t="shared" si="5"/>
        <v/>
      </c>
      <c r="J21" s="67" t="str">
        <f t="shared" si="26"/>
        <v/>
      </c>
      <c r="K21" s="71" t="str">
        <f t="shared" si="27"/>
        <v/>
      </c>
      <c r="L21" s="59" t="str">
        <f t="shared" si="28"/>
        <v/>
      </c>
      <c r="M21" s="67" t="str">
        <f t="shared" si="6"/>
        <v/>
      </c>
      <c r="N21" s="66"/>
      <c r="O21" s="59" t="str">
        <f t="shared" si="7"/>
        <v/>
      </c>
      <c r="P21" s="67" t="str">
        <f t="shared" si="8"/>
        <v/>
      </c>
      <c r="Q21" s="66"/>
      <c r="R21" s="59" t="str">
        <f t="shared" si="9"/>
        <v/>
      </c>
      <c r="S21" s="67" t="str">
        <f t="shared" si="10"/>
        <v/>
      </c>
      <c r="T21" s="66"/>
      <c r="U21" s="59" t="str">
        <f t="shared" si="11"/>
        <v/>
      </c>
      <c r="V21" s="67" t="str">
        <f t="shared" si="12"/>
        <v/>
      </c>
      <c r="W21" s="71" t="str">
        <f t="shared" si="29"/>
        <v/>
      </c>
      <c r="X21" s="59" t="str">
        <f t="shared" si="30"/>
        <v/>
      </c>
      <c r="Y21" s="67" t="str">
        <f t="shared" si="13"/>
        <v/>
      </c>
      <c r="Z21" s="66"/>
      <c r="AA21" s="59" t="str">
        <f t="shared" si="14"/>
        <v/>
      </c>
      <c r="AB21" s="67" t="str">
        <f t="shared" si="15"/>
        <v/>
      </c>
      <c r="AC21" s="66"/>
      <c r="AD21" s="59" t="str">
        <f t="shared" si="16"/>
        <v/>
      </c>
      <c r="AE21" s="67" t="str">
        <f t="shared" si="17"/>
        <v/>
      </c>
      <c r="AF21" s="66"/>
      <c r="AG21" s="59" t="str">
        <f t="shared" si="18"/>
        <v/>
      </c>
      <c r="AH21" s="67" t="str">
        <f t="shared" si="19"/>
        <v/>
      </c>
      <c r="AI21" s="71" t="str">
        <f t="shared" si="31"/>
        <v/>
      </c>
      <c r="AJ21" s="59" t="str">
        <f t="shared" si="20"/>
        <v/>
      </c>
      <c r="AK21" s="67" t="str">
        <f t="shared" si="21"/>
        <v/>
      </c>
      <c r="AL21" s="66"/>
      <c r="AM21" s="59" t="str">
        <f t="shared" si="22"/>
        <v/>
      </c>
      <c r="AN21" s="67" t="str">
        <f t="shared" si="23"/>
        <v/>
      </c>
    </row>
    <row r="22" spans="1:46" ht="18" customHeight="1">
      <c r="A22" s="74" t="str">
        <f>IF($C$9="Data Not Entered On Set-Up Worksheet","",IF(OR(VLOOKUP($C$9,County_Lookup,5,FALSE)="",VLOOKUP($C$9,County_Lookup,5,FALSE)=0),"",VLOOKUP($C$9,County_Lookup,5,FALSE)))</f>
        <v/>
      </c>
      <c r="B22" s="66"/>
      <c r="C22" s="59" t="str">
        <f t="shared" si="3"/>
        <v/>
      </c>
      <c r="D22" s="67" t="str">
        <f t="shared" si="24"/>
        <v/>
      </c>
      <c r="E22" s="66"/>
      <c r="F22" s="59" t="str">
        <f t="shared" si="4"/>
        <v/>
      </c>
      <c r="G22" s="67" t="str">
        <f t="shared" si="25"/>
        <v/>
      </c>
      <c r="H22" s="66"/>
      <c r="I22" s="59" t="str">
        <f t="shared" si="5"/>
        <v/>
      </c>
      <c r="J22" s="67" t="str">
        <f t="shared" si="26"/>
        <v/>
      </c>
      <c r="K22" s="71" t="str">
        <f t="shared" si="27"/>
        <v/>
      </c>
      <c r="L22" s="59" t="str">
        <f t="shared" si="28"/>
        <v/>
      </c>
      <c r="M22" s="67" t="str">
        <f t="shared" si="6"/>
        <v/>
      </c>
      <c r="N22" s="66"/>
      <c r="O22" s="59" t="str">
        <f t="shared" si="7"/>
        <v/>
      </c>
      <c r="P22" s="67" t="str">
        <f t="shared" si="8"/>
        <v/>
      </c>
      <c r="Q22" s="66"/>
      <c r="R22" s="59" t="str">
        <f t="shared" si="9"/>
        <v/>
      </c>
      <c r="S22" s="67" t="str">
        <f t="shared" si="10"/>
        <v/>
      </c>
      <c r="T22" s="66"/>
      <c r="U22" s="59" t="str">
        <f t="shared" si="11"/>
        <v/>
      </c>
      <c r="V22" s="67" t="str">
        <f t="shared" si="12"/>
        <v/>
      </c>
      <c r="W22" s="71" t="str">
        <f t="shared" si="29"/>
        <v/>
      </c>
      <c r="X22" s="59" t="str">
        <f t="shared" si="30"/>
        <v/>
      </c>
      <c r="Y22" s="67" t="str">
        <f t="shared" si="13"/>
        <v/>
      </c>
      <c r="Z22" s="66"/>
      <c r="AA22" s="59" t="str">
        <f t="shared" si="14"/>
        <v/>
      </c>
      <c r="AB22" s="67" t="str">
        <f t="shared" si="15"/>
        <v/>
      </c>
      <c r="AC22" s="66"/>
      <c r="AD22" s="59" t="str">
        <f t="shared" si="16"/>
        <v/>
      </c>
      <c r="AE22" s="67" t="str">
        <f t="shared" si="17"/>
        <v/>
      </c>
      <c r="AF22" s="66"/>
      <c r="AG22" s="59" t="str">
        <f t="shared" si="18"/>
        <v/>
      </c>
      <c r="AH22" s="67" t="str">
        <f t="shared" si="19"/>
        <v/>
      </c>
      <c r="AI22" s="71" t="str">
        <f t="shared" si="31"/>
        <v/>
      </c>
      <c r="AJ22" s="59" t="str">
        <f t="shared" si="20"/>
        <v/>
      </c>
      <c r="AK22" s="67" t="str">
        <f t="shared" si="21"/>
        <v/>
      </c>
      <c r="AL22" s="66"/>
      <c r="AM22" s="59" t="str">
        <f t="shared" si="22"/>
        <v/>
      </c>
      <c r="AN22" s="67" t="str">
        <f t="shared" si="23"/>
        <v/>
      </c>
    </row>
    <row r="23" spans="1:46" ht="18" customHeight="1">
      <c r="A23" s="74" t="str">
        <f>IF($C$9="Data Not Entered On Set-Up Worksheet","",IF(OR(VLOOKUP($C$9,County_Lookup,6,FALSE)="",VLOOKUP($C$9,County_Lookup,6,FALSE)=0),"",VLOOKUP($C$9,County_Lookup,6,FALSE)))</f>
        <v/>
      </c>
      <c r="B23" s="66"/>
      <c r="C23" s="59" t="str">
        <f t="shared" si="3"/>
        <v/>
      </c>
      <c r="D23" s="67" t="str">
        <f t="shared" si="24"/>
        <v/>
      </c>
      <c r="E23" s="66"/>
      <c r="F23" s="59" t="str">
        <f t="shared" si="4"/>
        <v/>
      </c>
      <c r="G23" s="67" t="str">
        <f t="shared" si="25"/>
        <v/>
      </c>
      <c r="H23" s="66"/>
      <c r="I23" s="59" t="str">
        <f t="shared" si="5"/>
        <v/>
      </c>
      <c r="J23" s="67" t="str">
        <f t="shared" si="26"/>
        <v/>
      </c>
      <c r="K23" s="71" t="str">
        <f t="shared" si="27"/>
        <v/>
      </c>
      <c r="L23" s="59" t="str">
        <f t="shared" si="28"/>
        <v/>
      </c>
      <c r="M23" s="67" t="str">
        <f t="shared" si="6"/>
        <v/>
      </c>
      <c r="N23" s="66"/>
      <c r="O23" s="59" t="str">
        <f t="shared" si="7"/>
        <v/>
      </c>
      <c r="P23" s="67" t="str">
        <f t="shared" si="8"/>
        <v/>
      </c>
      <c r="Q23" s="66"/>
      <c r="R23" s="59" t="str">
        <f t="shared" si="9"/>
        <v/>
      </c>
      <c r="S23" s="67" t="str">
        <f t="shared" si="10"/>
        <v/>
      </c>
      <c r="T23" s="66"/>
      <c r="U23" s="59" t="str">
        <f t="shared" si="11"/>
        <v/>
      </c>
      <c r="V23" s="67" t="str">
        <f t="shared" si="12"/>
        <v/>
      </c>
      <c r="W23" s="71" t="str">
        <f t="shared" si="29"/>
        <v/>
      </c>
      <c r="X23" s="59" t="str">
        <f t="shared" si="30"/>
        <v/>
      </c>
      <c r="Y23" s="67" t="str">
        <f t="shared" si="13"/>
        <v/>
      </c>
      <c r="Z23" s="66"/>
      <c r="AA23" s="59" t="str">
        <f t="shared" si="14"/>
        <v/>
      </c>
      <c r="AB23" s="67" t="str">
        <f t="shared" si="15"/>
        <v/>
      </c>
      <c r="AC23" s="66"/>
      <c r="AD23" s="59" t="str">
        <f t="shared" si="16"/>
        <v/>
      </c>
      <c r="AE23" s="67" t="str">
        <f t="shared" si="17"/>
        <v/>
      </c>
      <c r="AF23" s="66"/>
      <c r="AG23" s="59" t="str">
        <f t="shared" si="18"/>
        <v/>
      </c>
      <c r="AH23" s="67" t="str">
        <f t="shared" si="19"/>
        <v/>
      </c>
      <c r="AI23" s="71" t="str">
        <f t="shared" si="31"/>
        <v/>
      </c>
      <c r="AJ23" s="59" t="str">
        <f t="shared" si="20"/>
        <v/>
      </c>
      <c r="AK23" s="67" t="str">
        <f t="shared" si="21"/>
        <v/>
      </c>
      <c r="AL23" s="66"/>
      <c r="AM23" s="59" t="str">
        <f t="shared" si="22"/>
        <v/>
      </c>
      <c r="AN23" s="67" t="str">
        <f t="shared" si="23"/>
        <v/>
      </c>
    </row>
    <row r="24" spans="1:46" ht="18" customHeight="1">
      <c r="A24" s="74" t="str">
        <f>IF($C$9="Data Not Entered On Set-Up Worksheet","",IF(OR(VLOOKUP($C$9,County_Lookup,7,FALSE)="",VLOOKUP($C$9,County_Lookup,7,FALSE)=0),"",VLOOKUP($C$9,County_Lookup,7,FALSE)))</f>
        <v/>
      </c>
      <c r="B24" s="66"/>
      <c r="C24" s="59" t="str">
        <f t="shared" si="3"/>
        <v/>
      </c>
      <c r="D24" s="67" t="str">
        <f t="shared" si="24"/>
        <v/>
      </c>
      <c r="E24" s="66"/>
      <c r="F24" s="59" t="str">
        <f t="shared" si="4"/>
        <v/>
      </c>
      <c r="G24" s="67" t="str">
        <f t="shared" si="25"/>
        <v/>
      </c>
      <c r="H24" s="66"/>
      <c r="I24" s="59" t="str">
        <f t="shared" si="5"/>
        <v/>
      </c>
      <c r="J24" s="67" t="str">
        <f t="shared" si="26"/>
        <v/>
      </c>
      <c r="K24" s="71" t="str">
        <f t="shared" si="27"/>
        <v/>
      </c>
      <c r="L24" s="59" t="str">
        <f t="shared" si="28"/>
        <v/>
      </c>
      <c r="M24" s="67" t="str">
        <f t="shared" si="6"/>
        <v/>
      </c>
      <c r="N24" s="66"/>
      <c r="O24" s="59" t="str">
        <f t="shared" si="7"/>
        <v/>
      </c>
      <c r="P24" s="67" t="str">
        <f t="shared" si="8"/>
        <v/>
      </c>
      <c r="Q24" s="66"/>
      <c r="R24" s="59" t="str">
        <f t="shared" si="9"/>
        <v/>
      </c>
      <c r="S24" s="67" t="str">
        <f t="shared" si="10"/>
        <v/>
      </c>
      <c r="T24" s="66"/>
      <c r="U24" s="59" t="str">
        <f t="shared" si="11"/>
        <v/>
      </c>
      <c r="V24" s="67" t="str">
        <f t="shared" si="12"/>
        <v/>
      </c>
      <c r="W24" s="71" t="str">
        <f t="shared" si="29"/>
        <v/>
      </c>
      <c r="X24" s="59" t="str">
        <f t="shared" si="30"/>
        <v/>
      </c>
      <c r="Y24" s="67" t="str">
        <f t="shared" si="13"/>
        <v/>
      </c>
      <c r="Z24" s="66"/>
      <c r="AA24" s="59" t="str">
        <f t="shared" si="14"/>
        <v/>
      </c>
      <c r="AB24" s="67" t="str">
        <f t="shared" si="15"/>
        <v/>
      </c>
      <c r="AC24" s="66"/>
      <c r="AD24" s="59" t="str">
        <f t="shared" si="16"/>
        <v/>
      </c>
      <c r="AE24" s="67" t="str">
        <f t="shared" si="17"/>
        <v/>
      </c>
      <c r="AF24" s="66"/>
      <c r="AG24" s="59" t="str">
        <f t="shared" si="18"/>
        <v/>
      </c>
      <c r="AH24" s="67" t="str">
        <f t="shared" si="19"/>
        <v/>
      </c>
      <c r="AI24" s="71" t="str">
        <f t="shared" si="31"/>
        <v/>
      </c>
      <c r="AJ24" s="59" t="str">
        <f t="shared" si="20"/>
        <v/>
      </c>
      <c r="AK24" s="67" t="str">
        <f t="shared" si="21"/>
        <v/>
      </c>
      <c r="AL24" s="66"/>
      <c r="AM24" s="59" t="str">
        <f t="shared" si="22"/>
        <v/>
      </c>
      <c r="AN24" s="67" t="str">
        <f t="shared" si="23"/>
        <v/>
      </c>
    </row>
    <row r="25" spans="1:46" ht="18" customHeight="1">
      <c r="A25" s="73" t="str">
        <f>IF($C$9="Data Not Entered On Set-Up Worksheet","",IF(OR(VLOOKUP($C$9,County_Lookup,8,FALSE)="",VLOOKUP($C$9,County_Lookup,8,FALSE)=0),"",VLOOKUP($C$9,County_Lookup,8,FALSE)))</f>
        <v/>
      </c>
      <c r="B25" s="66"/>
      <c r="C25" s="59" t="str">
        <f t="shared" si="3"/>
        <v/>
      </c>
      <c r="D25" s="67" t="str">
        <f t="shared" si="24"/>
        <v/>
      </c>
      <c r="E25" s="66"/>
      <c r="F25" s="59" t="str">
        <f t="shared" si="4"/>
        <v/>
      </c>
      <c r="G25" s="67" t="str">
        <f t="shared" si="25"/>
        <v/>
      </c>
      <c r="H25" s="66"/>
      <c r="I25" s="59" t="str">
        <f t="shared" si="5"/>
        <v/>
      </c>
      <c r="J25" s="67" t="str">
        <f t="shared" si="26"/>
        <v/>
      </c>
      <c r="K25" s="71" t="str">
        <f t="shared" si="27"/>
        <v/>
      </c>
      <c r="L25" s="59" t="str">
        <f t="shared" si="28"/>
        <v/>
      </c>
      <c r="M25" s="67" t="str">
        <f t="shared" si="6"/>
        <v/>
      </c>
      <c r="N25" s="66"/>
      <c r="O25" s="59" t="str">
        <f t="shared" si="7"/>
        <v/>
      </c>
      <c r="P25" s="67" t="str">
        <f t="shared" si="8"/>
        <v/>
      </c>
      <c r="Q25" s="66"/>
      <c r="R25" s="59" t="str">
        <f t="shared" si="9"/>
        <v/>
      </c>
      <c r="S25" s="67" t="str">
        <f t="shared" si="10"/>
        <v/>
      </c>
      <c r="T25" s="66"/>
      <c r="U25" s="59" t="str">
        <f t="shared" si="11"/>
        <v/>
      </c>
      <c r="V25" s="67" t="str">
        <f t="shared" si="12"/>
        <v/>
      </c>
      <c r="W25" s="71" t="str">
        <f t="shared" si="29"/>
        <v/>
      </c>
      <c r="X25" s="59" t="str">
        <f t="shared" si="30"/>
        <v/>
      </c>
      <c r="Y25" s="67" t="str">
        <f t="shared" si="13"/>
        <v/>
      </c>
      <c r="Z25" s="66"/>
      <c r="AA25" s="59" t="str">
        <f t="shared" si="14"/>
        <v/>
      </c>
      <c r="AB25" s="67" t="str">
        <f t="shared" si="15"/>
        <v/>
      </c>
      <c r="AC25" s="66"/>
      <c r="AD25" s="59" t="str">
        <f t="shared" si="16"/>
        <v/>
      </c>
      <c r="AE25" s="67" t="str">
        <f t="shared" si="17"/>
        <v/>
      </c>
      <c r="AF25" s="66"/>
      <c r="AG25" s="59" t="str">
        <f t="shared" si="18"/>
        <v/>
      </c>
      <c r="AH25" s="67" t="str">
        <f t="shared" si="19"/>
        <v/>
      </c>
      <c r="AI25" s="71" t="str">
        <f t="shared" si="31"/>
        <v/>
      </c>
      <c r="AJ25" s="59" t="str">
        <f t="shared" si="20"/>
        <v/>
      </c>
      <c r="AK25" s="67" t="str">
        <f t="shared" si="21"/>
        <v/>
      </c>
      <c r="AL25" s="66"/>
      <c r="AM25" s="59" t="str">
        <f t="shared" si="22"/>
        <v/>
      </c>
      <c r="AN25" s="67" t="str">
        <f t="shared" si="23"/>
        <v/>
      </c>
    </row>
    <row r="26" spans="1:46" ht="18" customHeight="1">
      <c r="A26" s="74" t="str">
        <f>IF($C$9="Data Not Entered On Set-Up Worksheet","",IF(OR(VLOOKUP($C$9,County_Lookup,9,FALSE)="",VLOOKUP($C$9,County_Lookup,9,FALSE)=0),"",VLOOKUP($C$9,County_Lookup,9,FALSE)))</f>
        <v/>
      </c>
      <c r="B26" s="66"/>
      <c r="C26" s="59" t="str">
        <f t="shared" si="3"/>
        <v/>
      </c>
      <c r="D26" s="67" t="str">
        <f t="shared" si="24"/>
        <v/>
      </c>
      <c r="E26" s="66"/>
      <c r="F26" s="59" t="str">
        <f t="shared" si="4"/>
        <v/>
      </c>
      <c r="G26" s="67" t="str">
        <f t="shared" si="25"/>
        <v/>
      </c>
      <c r="H26" s="66"/>
      <c r="I26" s="59" t="str">
        <f t="shared" si="5"/>
        <v/>
      </c>
      <c r="J26" s="67" t="str">
        <f t="shared" si="26"/>
        <v/>
      </c>
      <c r="K26" s="71" t="str">
        <f t="shared" si="27"/>
        <v/>
      </c>
      <c r="L26" s="59" t="str">
        <f t="shared" si="28"/>
        <v/>
      </c>
      <c r="M26" s="67" t="str">
        <f t="shared" si="6"/>
        <v/>
      </c>
      <c r="N26" s="66"/>
      <c r="O26" s="59" t="str">
        <f t="shared" si="7"/>
        <v/>
      </c>
      <c r="P26" s="67" t="str">
        <f t="shared" si="8"/>
        <v/>
      </c>
      <c r="Q26" s="66"/>
      <c r="R26" s="59" t="str">
        <f t="shared" si="9"/>
        <v/>
      </c>
      <c r="S26" s="67" t="str">
        <f t="shared" si="10"/>
        <v/>
      </c>
      <c r="T26" s="66"/>
      <c r="U26" s="59" t="str">
        <f t="shared" si="11"/>
        <v/>
      </c>
      <c r="V26" s="67" t="str">
        <f t="shared" si="12"/>
        <v/>
      </c>
      <c r="W26" s="71" t="str">
        <f t="shared" si="29"/>
        <v/>
      </c>
      <c r="X26" s="59" t="str">
        <f t="shared" si="30"/>
        <v/>
      </c>
      <c r="Y26" s="67" t="str">
        <f t="shared" si="13"/>
        <v/>
      </c>
      <c r="Z26" s="66"/>
      <c r="AA26" s="59" t="str">
        <f t="shared" si="14"/>
        <v/>
      </c>
      <c r="AB26" s="67" t="str">
        <f t="shared" si="15"/>
        <v/>
      </c>
      <c r="AC26" s="66"/>
      <c r="AD26" s="59" t="str">
        <f t="shared" si="16"/>
        <v/>
      </c>
      <c r="AE26" s="67" t="str">
        <f t="shared" si="17"/>
        <v/>
      </c>
      <c r="AF26" s="66"/>
      <c r="AG26" s="59" t="str">
        <f t="shared" si="18"/>
        <v/>
      </c>
      <c r="AH26" s="67" t="str">
        <f t="shared" si="19"/>
        <v/>
      </c>
      <c r="AI26" s="71" t="str">
        <f t="shared" si="31"/>
        <v/>
      </c>
      <c r="AJ26" s="59" t="str">
        <f t="shared" si="20"/>
        <v/>
      </c>
      <c r="AK26" s="67" t="str">
        <f t="shared" si="21"/>
        <v/>
      </c>
      <c r="AL26" s="66"/>
      <c r="AM26" s="59" t="str">
        <f t="shared" si="22"/>
        <v/>
      </c>
      <c r="AN26" s="67" t="str">
        <f t="shared" si="23"/>
        <v/>
      </c>
    </row>
    <row r="27" spans="1:46" ht="18" customHeight="1">
      <c r="A27" s="74" t="str">
        <f>IF($C$9="Data Not Entered On Set-Up Worksheet","",IF(OR(VLOOKUP($C$9,County_Lookup,10,FALSE)="",VLOOKUP($C$9,County_Lookup,10,FALSE)=0),"",VLOOKUP($C$9,County_Lookup,10,FALSE)))</f>
        <v/>
      </c>
      <c r="B27" s="66"/>
      <c r="C27" s="59" t="str">
        <f t="shared" si="3"/>
        <v/>
      </c>
      <c r="D27" s="67" t="str">
        <f t="shared" si="24"/>
        <v/>
      </c>
      <c r="E27" s="66"/>
      <c r="F27" s="59" t="str">
        <f t="shared" si="4"/>
        <v/>
      </c>
      <c r="G27" s="67" t="str">
        <f t="shared" si="25"/>
        <v/>
      </c>
      <c r="H27" s="66"/>
      <c r="I27" s="59" t="str">
        <f t="shared" si="5"/>
        <v/>
      </c>
      <c r="J27" s="67" t="str">
        <f t="shared" si="26"/>
        <v/>
      </c>
      <c r="K27" s="71" t="str">
        <f t="shared" si="27"/>
        <v/>
      </c>
      <c r="L27" s="59" t="str">
        <f t="shared" si="28"/>
        <v/>
      </c>
      <c r="M27" s="67" t="str">
        <f t="shared" si="6"/>
        <v/>
      </c>
      <c r="N27" s="66"/>
      <c r="O27" s="59" t="str">
        <f t="shared" si="7"/>
        <v/>
      </c>
      <c r="P27" s="67" t="str">
        <f t="shared" si="8"/>
        <v/>
      </c>
      <c r="Q27" s="66"/>
      <c r="R27" s="59" t="str">
        <f t="shared" si="9"/>
        <v/>
      </c>
      <c r="S27" s="67" t="str">
        <f t="shared" si="10"/>
        <v/>
      </c>
      <c r="T27" s="66"/>
      <c r="U27" s="59" t="str">
        <f t="shared" si="11"/>
        <v/>
      </c>
      <c r="V27" s="67" t="str">
        <f t="shared" si="12"/>
        <v/>
      </c>
      <c r="W27" s="71" t="str">
        <f t="shared" si="29"/>
        <v/>
      </c>
      <c r="X27" s="59" t="str">
        <f t="shared" si="30"/>
        <v/>
      </c>
      <c r="Y27" s="67" t="str">
        <f t="shared" si="13"/>
        <v/>
      </c>
      <c r="Z27" s="66"/>
      <c r="AA27" s="59" t="str">
        <f t="shared" si="14"/>
        <v/>
      </c>
      <c r="AB27" s="67" t="str">
        <f t="shared" si="15"/>
        <v/>
      </c>
      <c r="AC27" s="66"/>
      <c r="AD27" s="59" t="str">
        <f t="shared" si="16"/>
        <v/>
      </c>
      <c r="AE27" s="67" t="str">
        <f t="shared" si="17"/>
        <v/>
      </c>
      <c r="AF27" s="66"/>
      <c r="AG27" s="59" t="str">
        <f t="shared" si="18"/>
        <v/>
      </c>
      <c r="AH27" s="67" t="str">
        <f t="shared" si="19"/>
        <v/>
      </c>
      <c r="AI27" s="71" t="str">
        <f t="shared" si="31"/>
        <v/>
      </c>
      <c r="AJ27" s="59" t="str">
        <f t="shared" si="20"/>
        <v/>
      </c>
      <c r="AK27" s="67" t="str">
        <f t="shared" si="21"/>
        <v/>
      </c>
      <c r="AL27" s="66"/>
      <c r="AM27" s="59" t="str">
        <f t="shared" si="22"/>
        <v/>
      </c>
      <c r="AN27" s="67" t="str">
        <f t="shared" si="23"/>
        <v/>
      </c>
    </row>
    <row r="28" spans="1:46" ht="18" customHeight="1">
      <c r="A28" s="74" t="str">
        <f>IF($C$9="Data Not Entered On Set-Up Worksheet","",IF(OR(VLOOKUP($C$9,County_Lookup,11,FALSE)="",VLOOKUP($C$9,County_Lookup,11,FALSE)=0),"",VLOOKUP($C$9,County_Lookup,11,FALSE)))</f>
        <v/>
      </c>
      <c r="B28" s="66"/>
      <c r="C28" s="59" t="str">
        <f t="shared" si="3"/>
        <v/>
      </c>
      <c r="D28" s="67" t="str">
        <f t="shared" si="24"/>
        <v/>
      </c>
      <c r="E28" s="66"/>
      <c r="F28" s="59" t="str">
        <f t="shared" si="4"/>
        <v/>
      </c>
      <c r="G28" s="67" t="str">
        <f t="shared" si="25"/>
        <v/>
      </c>
      <c r="H28" s="66"/>
      <c r="I28" s="59" t="str">
        <f t="shared" si="5"/>
        <v/>
      </c>
      <c r="J28" s="67" t="str">
        <f t="shared" si="26"/>
        <v/>
      </c>
      <c r="K28" s="71" t="str">
        <f t="shared" si="27"/>
        <v/>
      </c>
      <c r="L28" s="59" t="str">
        <f t="shared" si="28"/>
        <v/>
      </c>
      <c r="M28" s="67" t="str">
        <f t="shared" si="6"/>
        <v/>
      </c>
      <c r="N28" s="66"/>
      <c r="O28" s="59" t="str">
        <f t="shared" si="7"/>
        <v/>
      </c>
      <c r="P28" s="67" t="str">
        <f t="shared" si="8"/>
        <v/>
      </c>
      <c r="Q28" s="66"/>
      <c r="R28" s="59" t="str">
        <f t="shared" si="9"/>
        <v/>
      </c>
      <c r="S28" s="67" t="str">
        <f t="shared" si="10"/>
        <v/>
      </c>
      <c r="T28" s="66"/>
      <c r="U28" s="59" t="str">
        <f t="shared" si="11"/>
        <v/>
      </c>
      <c r="V28" s="67" t="str">
        <f t="shared" si="12"/>
        <v/>
      </c>
      <c r="W28" s="71" t="str">
        <f t="shared" si="29"/>
        <v/>
      </c>
      <c r="X28" s="59" t="str">
        <f t="shared" si="30"/>
        <v/>
      </c>
      <c r="Y28" s="67" t="str">
        <f t="shared" si="13"/>
        <v/>
      </c>
      <c r="Z28" s="66"/>
      <c r="AA28" s="59" t="str">
        <f t="shared" si="14"/>
        <v/>
      </c>
      <c r="AB28" s="67" t="str">
        <f t="shared" si="15"/>
        <v/>
      </c>
      <c r="AC28" s="66"/>
      <c r="AD28" s="59" t="str">
        <f t="shared" si="16"/>
        <v/>
      </c>
      <c r="AE28" s="67" t="str">
        <f t="shared" si="17"/>
        <v/>
      </c>
      <c r="AF28" s="66"/>
      <c r="AG28" s="59" t="str">
        <f t="shared" si="18"/>
        <v/>
      </c>
      <c r="AH28" s="67" t="str">
        <f t="shared" si="19"/>
        <v/>
      </c>
      <c r="AI28" s="71" t="str">
        <f t="shared" si="31"/>
        <v/>
      </c>
      <c r="AJ28" s="59" t="str">
        <f t="shared" si="20"/>
        <v/>
      </c>
      <c r="AK28" s="67" t="str">
        <f t="shared" si="21"/>
        <v/>
      </c>
      <c r="AL28" s="66"/>
      <c r="AM28" s="59" t="str">
        <f t="shared" si="22"/>
        <v/>
      </c>
      <c r="AN28" s="67" t="str">
        <f t="shared" si="23"/>
        <v/>
      </c>
    </row>
    <row r="29" spans="1:46" ht="18" customHeight="1">
      <c r="A29" s="74" t="str">
        <f>IF($C$9="Data Not Entered On Set-Up Worksheet","",IF(OR(VLOOKUP($C$9,County_Lookup,12,FALSE)="",VLOOKUP($C$9,County_Lookup,12,FALSE)=0),"",VLOOKUP($C$9,County_Lookup,12,FALSE)))</f>
        <v/>
      </c>
      <c r="B29" s="66"/>
      <c r="C29" s="59" t="str">
        <f t="shared" si="3"/>
        <v/>
      </c>
      <c r="D29" s="67" t="str">
        <f t="shared" si="24"/>
        <v/>
      </c>
      <c r="E29" s="66"/>
      <c r="F29" s="59" t="str">
        <f t="shared" si="4"/>
        <v/>
      </c>
      <c r="G29" s="67" t="str">
        <f t="shared" si="25"/>
        <v/>
      </c>
      <c r="H29" s="66"/>
      <c r="I29" s="59" t="str">
        <f t="shared" si="5"/>
        <v/>
      </c>
      <c r="J29" s="67" t="str">
        <f t="shared" si="26"/>
        <v/>
      </c>
      <c r="K29" s="71" t="str">
        <f t="shared" si="27"/>
        <v/>
      </c>
      <c r="L29" s="59" t="str">
        <f t="shared" si="28"/>
        <v/>
      </c>
      <c r="M29" s="67" t="str">
        <f t="shared" si="6"/>
        <v/>
      </c>
      <c r="N29" s="66"/>
      <c r="O29" s="59" t="str">
        <f t="shared" si="7"/>
        <v/>
      </c>
      <c r="P29" s="67" t="str">
        <f t="shared" si="8"/>
        <v/>
      </c>
      <c r="Q29" s="66"/>
      <c r="R29" s="59" t="str">
        <f t="shared" si="9"/>
        <v/>
      </c>
      <c r="S29" s="67" t="str">
        <f t="shared" si="10"/>
        <v/>
      </c>
      <c r="T29" s="66"/>
      <c r="U29" s="59" t="str">
        <f t="shared" si="11"/>
        <v/>
      </c>
      <c r="V29" s="67" t="str">
        <f t="shared" si="12"/>
        <v/>
      </c>
      <c r="W29" s="71" t="str">
        <f t="shared" si="29"/>
        <v/>
      </c>
      <c r="X29" s="59" t="str">
        <f t="shared" si="30"/>
        <v/>
      </c>
      <c r="Y29" s="67" t="str">
        <f t="shared" si="13"/>
        <v/>
      </c>
      <c r="Z29" s="66"/>
      <c r="AA29" s="59" t="str">
        <f t="shared" si="14"/>
        <v/>
      </c>
      <c r="AB29" s="67" t="str">
        <f t="shared" si="15"/>
        <v/>
      </c>
      <c r="AC29" s="66"/>
      <c r="AD29" s="59" t="str">
        <f t="shared" si="16"/>
        <v/>
      </c>
      <c r="AE29" s="67" t="str">
        <f t="shared" si="17"/>
        <v/>
      </c>
      <c r="AF29" s="66"/>
      <c r="AG29" s="59" t="str">
        <f t="shared" si="18"/>
        <v/>
      </c>
      <c r="AH29" s="67" t="str">
        <f t="shared" si="19"/>
        <v/>
      </c>
      <c r="AI29" s="71" t="str">
        <f t="shared" si="31"/>
        <v/>
      </c>
      <c r="AJ29" s="59" t="str">
        <f t="shared" si="20"/>
        <v/>
      </c>
      <c r="AK29" s="67" t="str">
        <f t="shared" si="21"/>
        <v/>
      </c>
      <c r="AL29" s="66"/>
      <c r="AM29" s="59" t="str">
        <f t="shared" si="22"/>
        <v/>
      </c>
      <c r="AN29" s="67" t="str">
        <f t="shared" si="23"/>
        <v/>
      </c>
    </row>
    <row r="30" spans="1:46" ht="18" customHeight="1">
      <c r="A30" s="74" t="str">
        <f>IF($C$9="Data Not Entered On Set-Up Worksheet","",IF(OR(VLOOKUP($C$9,County_Lookup,13,FALSE)="",VLOOKUP($C$9,County_Lookup,13,FALSE)=0),"",VLOOKUP($C$9,County_Lookup,13,FALSE)))</f>
        <v/>
      </c>
      <c r="B30" s="66"/>
      <c r="C30" s="59" t="str">
        <f t="shared" si="3"/>
        <v/>
      </c>
      <c r="D30" s="67" t="str">
        <f t="shared" si="24"/>
        <v/>
      </c>
      <c r="E30" s="66"/>
      <c r="F30" s="59" t="str">
        <f t="shared" si="4"/>
        <v/>
      </c>
      <c r="G30" s="67" t="str">
        <f t="shared" si="25"/>
        <v/>
      </c>
      <c r="H30" s="66"/>
      <c r="I30" s="59" t="str">
        <f t="shared" si="5"/>
        <v/>
      </c>
      <c r="J30" s="67" t="str">
        <f t="shared" si="26"/>
        <v/>
      </c>
      <c r="K30" s="71" t="str">
        <f t="shared" si="27"/>
        <v/>
      </c>
      <c r="L30" s="59" t="str">
        <f t="shared" si="28"/>
        <v/>
      </c>
      <c r="M30" s="67" t="str">
        <f t="shared" si="6"/>
        <v/>
      </c>
      <c r="N30" s="66"/>
      <c r="O30" s="59" t="str">
        <f t="shared" si="7"/>
        <v/>
      </c>
      <c r="P30" s="67" t="str">
        <f t="shared" si="8"/>
        <v/>
      </c>
      <c r="Q30" s="66"/>
      <c r="R30" s="59" t="str">
        <f t="shared" si="9"/>
        <v/>
      </c>
      <c r="S30" s="67" t="str">
        <f t="shared" si="10"/>
        <v/>
      </c>
      <c r="T30" s="66"/>
      <c r="U30" s="59" t="str">
        <f t="shared" si="11"/>
        <v/>
      </c>
      <c r="V30" s="67" t="str">
        <f t="shared" si="12"/>
        <v/>
      </c>
      <c r="W30" s="71" t="str">
        <f t="shared" si="29"/>
        <v/>
      </c>
      <c r="X30" s="59" t="str">
        <f t="shared" si="30"/>
        <v/>
      </c>
      <c r="Y30" s="67" t="str">
        <f t="shared" si="13"/>
        <v/>
      </c>
      <c r="Z30" s="66"/>
      <c r="AA30" s="59" t="str">
        <f t="shared" si="14"/>
        <v/>
      </c>
      <c r="AB30" s="67" t="str">
        <f t="shared" si="15"/>
        <v/>
      </c>
      <c r="AC30" s="66"/>
      <c r="AD30" s="59" t="str">
        <f t="shared" si="16"/>
        <v/>
      </c>
      <c r="AE30" s="67" t="str">
        <f t="shared" si="17"/>
        <v/>
      </c>
      <c r="AF30" s="66"/>
      <c r="AG30" s="59" t="str">
        <f t="shared" si="18"/>
        <v/>
      </c>
      <c r="AH30" s="67" t="str">
        <f t="shared" si="19"/>
        <v/>
      </c>
      <c r="AI30" s="71" t="str">
        <f t="shared" si="31"/>
        <v/>
      </c>
      <c r="AJ30" s="59" t="str">
        <f t="shared" si="20"/>
        <v/>
      </c>
      <c r="AK30" s="67" t="str">
        <f t="shared" si="21"/>
        <v/>
      </c>
      <c r="AL30" s="66"/>
      <c r="AM30" s="59" t="str">
        <f t="shared" si="22"/>
        <v/>
      </c>
      <c r="AN30" s="67" t="str">
        <f t="shared" si="23"/>
        <v/>
      </c>
    </row>
    <row r="31" spans="1:46" ht="18" customHeight="1">
      <c r="A31" s="74" t="str">
        <f>IF($C$9="Data Not Entered On Set-Up Worksheet","",IF(OR(VLOOKUP($C$9,County_Lookup,14,FALSE)="",VLOOKUP($C$9,County_Lookup,14,FALSE)=0),"",VLOOKUP($C$9,County_Lookup,14,FALSE)))</f>
        <v/>
      </c>
      <c r="B31" s="66"/>
      <c r="C31" s="59" t="str">
        <f t="shared" si="3"/>
        <v/>
      </c>
      <c r="D31" s="67" t="str">
        <f t="shared" si="24"/>
        <v/>
      </c>
      <c r="E31" s="66"/>
      <c r="F31" s="59" t="str">
        <f t="shared" si="4"/>
        <v/>
      </c>
      <c r="G31" s="67" t="str">
        <f t="shared" si="25"/>
        <v/>
      </c>
      <c r="H31" s="66"/>
      <c r="I31" s="59" t="str">
        <f t="shared" si="5"/>
        <v/>
      </c>
      <c r="J31" s="67" t="str">
        <f t="shared" si="26"/>
        <v/>
      </c>
      <c r="K31" s="71" t="str">
        <f t="shared" si="27"/>
        <v/>
      </c>
      <c r="L31" s="59" t="str">
        <f t="shared" si="28"/>
        <v/>
      </c>
      <c r="M31" s="67" t="str">
        <f t="shared" si="6"/>
        <v/>
      </c>
      <c r="N31" s="66"/>
      <c r="O31" s="59" t="str">
        <f t="shared" si="7"/>
        <v/>
      </c>
      <c r="P31" s="67" t="str">
        <f t="shared" si="8"/>
        <v/>
      </c>
      <c r="Q31" s="66"/>
      <c r="R31" s="59" t="str">
        <f t="shared" si="9"/>
        <v/>
      </c>
      <c r="S31" s="67" t="str">
        <f t="shared" si="10"/>
        <v/>
      </c>
      <c r="T31" s="66"/>
      <c r="U31" s="59" t="str">
        <f t="shared" si="11"/>
        <v/>
      </c>
      <c r="V31" s="67" t="str">
        <f t="shared" si="12"/>
        <v/>
      </c>
      <c r="W31" s="71" t="str">
        <f t="shared" si="29"/>
        <v/>
      </c>
      <c r="X31" s="59" t="str">
        <f t="shared" si="30"/>
        <v/>
      </c>
      <c r="Y31" s="67" t="str">
        <f t="shared" si="13"/>
        <v/>
      </c>
      <c r="Z31" s="66"/>
      <c r="AA31" s="59" t="str">
        <f t="shared" si="14"/>
        <v/>
      </c>
      <c r="AB31" s="67" t="str">
        <f t="shared" si="15"/>
        <v/>
      </c>
      <c r="AC31" s="66"/>
      <c r="AD31" s="59" t="str">
        <f t="shared" si="16"/>
        <v/>
      </c>
      <c r="AE31" s="67" t="str">
        <f t="shared" si="17"/>
        <v/>
      </c>
      <c r="AF31" s="66"/>
      <c r="AG31" s="59" t="str">
        <f t="shared" si="18"/>
        <v/>
      </c>
      <c r="AH31" s="67" t="str">
        <f t="shared" si="19"/>
        <v/>
      </c>
      <c r="AI31" s="71" t="str">
        <f t="shared" si="31"/>
        <v/>
      </c>
      <c r="AJ31" s="59" t="str">
        <f t="shared" si="20"/>
        <v/>
      </c>
      <c r="AK31" s="67" t="str">
        <f t="shared" si="21"/>
        <v/>
      </c>
      <c r="AL31" s="66"/>
      <c r="AM31" s="59" t="str">
        <f t="shared" si="22"/>
        <v/>
      </c>
      <c r="AN31" s="67" t="str">
        <f t="shared" si="23"/>
        <v/>
      </c>
    </row>
    <row r="32" spans="1:46" ht="18" customHeight="1">
      <c r="A32" s="73" t="str">
        <f>IF($C$9="Data Not Entered On Set-Up Worksheet","",IF(OR(VLOOKUP($C$9,County_Lookup,15,FALSE)="",VLOOKUP($C$9,County_Lookup,15,FALSE)=0),"",VLOOKUP($C$9,County_Lookup,15,FALSE)))</f>
        <v/>
      </c>
      <c r="B32" s="66"/>
      <c r="C32" s="59" t="str">
        <f t="shared" si="3"/>
        <v/>
      </c>
      <c r="D32" s="67" t="str">
        <f t="shared" si="24"/>
        <v/>
      </c>
      <c r="E32" s="66"/>
      <c r="F32" s="59" t="str">
        <f t="shared" si="4"/>
        <v/>
      </c>
      <c r="G32" s="67" t="str">
        <f t="shared" si="25"/>
        <v/>
      </c>
      <c r="H32" s="66"/>
      <c r="I32" s="59" t="str">
        <f t="shared" si="5"/>
        <v/>
      </c>
      <c r="J32" s="67" t="str">
        <f t="shared" si="26"/>
        <v/>
      </c>
      <c r="K32" s="71" t="str">
        <f t="shared" si="27"/>
        <v/>
      </c>
      <c r="L32" s="59" t="str">
        <f t="shared" si="28"/>
        <v/>
      </c>
      <c r="M32" s="67" t="str">
        <f t="shared" si="6"/>
        <v/>
      </c>
      <c r="N32" s="66"/>
      <c r="O32" s="59" t="str">
        <f t="shared" si="7"/>
        <v/>
      </c>
      <c r="P32" s="67" t="str">
        <f t="shared" si="8"/>
        <v/>
      </c>
      <c r="Q32" s="66"/>
      <c r="R32" s="59" t="str">
        <f t="shared" si="9"/>
        <v/>
      </c>
      <c r="S32" s="67" t="str">
        <f t="shared" si="10"/>
        <v/>
      </c>
      <c r="T32" s="66"/>
      <c r="U32" s="59" t="str">
        <f t="shared" si="11"/>
        <v/>
      </c>
      <c r="V32" s="67" t="str">
        <f t="shared" si="12"/>
        <v/>
      </c>
      <c r="W32" s="71" t="str">
        <f t="shared" si="29"/>
        <v/>
      </c>
      <c r="X32" s="59" t="str">
        <f t="shared" si="30"/>
        <v/>
      </c>
      <c r="Y32" s="67" t="str">
        <f t="shared" si="13"/>
        <v/>
      </c>
      <c r="Z32" s="66"/>
      <c r="AA32" s="59" t="str">
        <f t="shared" si="14"/>
        <v/>
      </c>
      <c r="AB32" s="67" t="str">
        <f t="shared" si="15"/>
        <v/>
      </c>
      <c r="AC32" s="66"/>
      <c r="AD32" s="59" t="str">
        <f t="shared" si="16"/>
        <v/>
      </c>
      <c r="AE32" s="67" t="str">
        <f t="shared" si="17"/>
        <v/>
      </c>
      <c r="AF32" s="66"/>
      <c r="AG32" s="59" t="str">
        <f t="shared" si="18"/>
        <v/>
      </c>
      <c r="AH32" s="67" t="str">
        <f t="shared" si="19"/>
        <v/>
      </c>
      <c r="AI32" s="71" t="str">
        <f t="shared" si="31"/>
        <v/>
      </c>
      <c r="AJ32" s="59" t="str">
        <f t="shared" si="20"/>
        <v/>
      </c>
      <c r="AK32" s="67" t="str">
        <f t="shared" si="21"/>
        <v/>
      </c>
      <c r="AL32" s="66"/>
      <c r="AM32" s="59" t="str">
        <f t="shared" si="22"/>
        <v/>
      </c>
      <c r="AN32" s="67" t="str">
        <f t="shared" si="23"/>
        <v/>
      </c>
    </row>
    <row r="33" spans="1:40" ht="18" customHeight="1">
      <c r="A33" s="74" t="str">
        <f>IF($C$9="Data Not Entered On Set-Up Worksheet","",IF(OR(VLOOKUP($C$9,County_Lookup,16,FALSE)="",VLOOKUP($C$9,County_Lookup,16,FALSE)=0),"",VLOOKUP($C$9,County_Lookup,16,FALSE)))</f>
        <v/>
      </c>
      <c r="B33" s="66"/>
      <c r="C33" s="59" t="str">
        <f t="shared" si="3"/>
        <v/>
      </c>
      <c r="D33" s="67" t="str">
        <f t="shared" si="24"/>
        <v/>
      </c>
      <c r="E33" s="66"/>
      <c r="F33" s="59" t="str">
        <f t="shared" si="4"/>
        <v/>
      </c>
      <c r="G33" s="67" t="str">
        <f t="shared" si="25"/>
        <v/>
      </c>
      <c r="H33" s="66"/>
      <c r="I33" s="59" t="str">
        <f t="shared" si="5"/>
        <v/>
      </c>
      <c r="J33" s="67" t="str">
        <f t="shared" si="26"/>
        <v/>
      </c>
      <c r="K33" s="71" t="str">
        <f t="shared" si="27"/>
        <v/>
      </c>
      <c r="L33" s="59" t="str">
        <f t="shared" si="28"/>
        <v/>
      </c>
      <c r="M33" s="67" t="str">
        <f t="shared" si="6"/>
        <v/>
      </c>
      <c r="N33" s="66"/>
      <c r="O33" s="59" t="str">
        <f t="shared" si="7"/>
        <v/>
      </c>
      <c r="P33" s="67" t="str">
        <f t="shared" si="8"/>
        <v/>
      </c>
      <c r="Q33" s="66"/>
      <c r="R33" s="59" t="str">
        <f t="shared" si="9"/>
        <v/>
      </c>
      <c r="S33" s="67" t="str">
        <f t="shared" si="10"/>
        <v/>
      </c>
      <c r="T33" s="66"/>
      <c r="U33" s="59" t="str">
        <f t="shared" si="11"/>
        <v/>
      </c>
      <c r="V33" s="67" t="str">
        <f t="shared" si="12"/>
        <v/>
      </c>
      <c r="W33" s="71" t="str">
        <f t="shared" si="29"/>
        <v/>
      </c>
      <c r="X33" s="59" t="str">
        <f t="shared" si="30"/>
        <v/>
      </c>
      <c r="Y33" s="67" t="str">
        <f t="shared" si="13"/>
        <v/>
      </c>
      <c r="Z33" s="66"/>
      <c r="AA33" s="59" t="str">
        <f t="shared" si="14"/>
        <v/>
      </c>
      <c r="AB33" s="67" t="str">
        <f t="shared" si="15"/>
        <v/>
      </c>
      <c r="AC33" s="66"/>
      <c r="AD33" s="59" t="str">
        <f t="shared" si="16"/>
        <v/>
      </c>
      <c r="AE33" s="67" t="str">
        <f t="shared" si="17"/>
        <v/>
      </c>
      <c r="AF33" s="66"/>
      <c r="AG33" s="59" t="str">
        <f t="shared" si="18"/>
        <v/>
      </c>
      <c r="AH33" s="67" t="str">
        <f t="shared" si="19"/>
        <v/>
      </c>
      <c r="AI33" s="71" t="str">
        <f t="shared" si="31"/>
        <v/>
      </c>
      <c r="AJ33" s="59" t="str">
        <f t="shared" si="20"/>
        <v/>
      </c>
      <c r="AK33" s="67" t="str">
        <f t="shared" si="21"/>
        <v/>
      </c>
      <c r="AL33" s="66"/>
      <c r="AM33" s="59" t="str">
        <f t="shared" si="22"/>
        <v/>
      </c>
      <c r="AN33" s="67" t="str">
        <f t="shared" si="23"/>
        <v/>
      </c>
    </row>
    <row r="34" spans="1:40" ht="18" customHeight="1">
      <c r="A34" s="74" t="str">
        <f>IF($C$9="Data Not Entered On Set-Up Worksheet","",IF(OR(VLOOKUP($C$9,County_Lookup,17,FALSE)="",VLOOKUP($C$9,County_Lookup,17,FALSE)=0),"",VLOOKUP($C$9,County_Lookup,17,FALSE)))</f>
        <v/>
      </c>
      <c r="B34" s="66"/>
      <c r="C34" s="59" t="str">
        <f t="shared" si="3"/>
        <v/>
      </c>
      <c r="D34" s="67" t="str">
        <f t="shared" si="24"/>
        <v/>
      </c>
      <c r="E34" s="66"/>
      <c r="F34" s="59" t="str">
        <f t="shared" si="4"/>
        <v/>
      </c>
      <c r="G34" s="67" t="str">
        <f t="shared" si="25"/>
        <v/>
      </c>
      <c r="H34" s="66"/>
      <c r="I34" s="59" t="str">
        <f t="shared" si="5"/>
        <v/>
      </c>
      <c r="J34" s="67" t="str">
        <f t="shared" si="26"/>
        <v/>
      </c>
      <c r="K34" s="71" t="str">
        <f t="shared" si="27"/>
        <v/>
      </c>
      <c r="L34" s="59" t="str">
        <f t="shared" si="28"/>
        <v/>
      </c>
      <c r="M34" s="67" t="str">
        <f t="shared" si="6"/>
        <v/>
      </c>
      <c r="N34" s="66"/>
      <c r="O34" s="59" t="str">
        <f t="shared" si="7"/>
        <v/>
      </c>
      <c r="P34" s="67" t="str">
        <f t="shared" si="8"/>
        <v/>
      </c>
      <c r="Q34" s="66"/>
      <c r="R34" s="59" t="str">
        <f t="shared" si="9"/>
        <v/>
      </c>
      <c r="S34" s="67" t="str">
        <f t="shared" si="10"/>
        <v/>
      </c>
      <c r="T34" s="66"/>
      <c r="U34" s="59" t="str">
        <f t="shared" si="11"/>
        <v/>
      </c>
      <c r="V34" s="67" t="str">
        <f t="shared" si="12"/>
        <v/>
      </c>
      <c r="W34" s="71" t="str">
        <f t="shared" si="29"/>
        <v/>
      </c>
      <c r="X34" s="59" t="str">
        <f t="shared" si="30"/>
        <v/>
      </c>
      <c r="Y34" s="67" t="str">
        <f t="shared" si="13"/>
        <v/>
      </c>
      <c r="Z34" s="66"/>
      <c r="AA34" s="59" t="str">
        <f t="shared" si="14"/>
        <v/>
      </c>
      <c r="AB34" s="67" t="str">
        <f t="shared" si="15"/>
        <v/>
      </c>
      <c r="AC34" s="66"/>
      <c r="AD34" s="59" t="str">
        <f t="shared" si="16"/>
        <v/>
      </c>
      <c r="AE34" s="67" t="str">
        <f t="shared" si="17"/>
        <v/>
      </c>
      <c r="AF34" s="66"/>
      <c r="AG34" s="59" t="str">
        <f t="shared" si="18"/>
        <v/>
      </c>
      <c r="AH34" s="67" t="str">
        <f t="shared" si="19"/>
        <v/>
      </c>
      <c r="AI34" s="71" t="str">
        <f t="shared" si="31"/>
        <v/>
      </c>
      <c r="AJ34" s="59" t="str">
        <f t="shared" si="20"/>
        <v/>
      </c>
      <c r="AK34" s="67" t="str">
        <f t="shared" si="21"/>
        <v/>
      </c>
      <c r="AL34" s="66"/>
      <c r="AM34" s="59" t="str">
        <f t="shared" si="22"/>
        <v/>
      </c>
      <c r="AN34" s="67" t="str">
        <f t="shared" si="23"/>
        <v/>
      </c>
    </row>
    <row r="35" spans="1:40" ht="18" customHeight="1">
      <c r="A35" s="74" t="str">
        <f>IF($C$9="Data Not Entered On Set-Up Worksheet","",IF(OR(VLOOKUP($C$9,County_Lookup,18,FALSE)="",VLOOKUP($C$9,County_Lookup,18,FALSE)=0),"",VLOOKUP($C$9,County_Lookup,18,FALSE)))</f>
        <v/>
      </c>
      <c r="B35" s="66"/>
      <c r="C35" s="59" t="str">
        <f t="shared" si="3"/>
        <v/>
      </c>
      <c r="D35" s="67" t="str">
        <f t="shared" si="24"/>
        <v/>
      </c>
      <c r="E35" s="66"/>
      <c r="F35" s="59" t="str">
        <f t="shared" si="4"/>
        <v/>
      </c>
      <c r="G35" s="67" t="str">
        <f t="shared" si="25"/>
        <v/>
      </c>
      <c r="H35" s="66"/>
      <c r="I35" s="59" t="str">
        <f t="shared" si="5"/>
        <v/>
      </c>
      <c r="J35" s="67" t="str">
        <f t="shared" si="26"/>
        <v/>
      </c>
      <c r="K35" s="71" t="str">
        <f t="shared" si="27"/>
        <v/>
      </c>
      <c r="L35" s="59" t="str">
        <f t="shared" si="28"/>
        <v/>
      </c>
      <c r="M35" s="67" t="str">
        <f t="shared" si="6"/>
        <v/>
      </c>
      <c r="N35" s="66"/>
      <c r="O35" s="59" t="str">
        <f t="shared" si="7"/>
        <v/>
      </c>
      <c r="P35" s="67" t="str">
        <f t="shared" si="8"/>
        <v/>
      </c>
      <c r="Q35" s="66"/>
      <c r="R35" s="59" t="str">
        <f t="shared" si="9"/>
        <v/>
      </c>
      <c r="S35" s="67" t="str">
        <f t="shared" si="10"/>
        <v/>
      </c>
      <c r="T35" s="66"/>
      <c r="U35" s="59" t="str">
        <f t="shared" si="11"/>
        <v/>
      </c>
      <c r="V35" s="67" t="str">
        <f t="shared" si="12"/>
        <v/>
      </c>
      <c r="W35" s="71" t="str">
        <f t="shared" si="29"/>
        <v/>
      </c>
      <c r="X35" s="59" t="str">
        <f t="shared" si="30"/>
        <v/>
      </c>
      <c r="Y35" s="67" t="str">
        <f t="shared" si="13"/>
        <v/>
      </c>
      <c r="Z35" s="66"/>
      <c r="AA35" s="59" t="str">
        <f t="shared" si="14"/>
        <v/>
      </c>
      <c r="AB35" s="67" t="str">
        <f t="shared" si="15"/>
        <v/>
      </c>
      <c r="AC35" s="66"/>
      <c r="AD35" s="59" t="str">
        <f t="shared" si="16"/>
        <v/>
      </c>
      <c r="AE35" s="67" t="str">
        <f t="shared" si="17"/>
        <v/>
      </c>
      <c r="AF35" s="66"/>
      <c r="AG35" s="59" t="str">
        <f t="shared" si="18"/>
        <v/>
      </c>
      <c r="AH35" s="67" t="str">
        <f t="shared" si="19"/>
        <v/>
      </c>
      <c r="AI35" s="71" t="str">
        <f t="shared" si="31"/>
        <v/>
      </c>
      <c r="AJ35" s="59" t="str">
        <f t="shared" si="20"/>
        <v/>
      </c>
      <c r="AK35" s="67" t="str">
        <f t="shared" si="21"/>
        <v/>
      </c>
      <c r="AL35" s="66"/>
      <c r="AM35" s="59" t="str">
        <f t="shared" si="22"/>
        <v/>
      </c>
      <c r="AN35" s="67" t="str">
        <f t="shared" si="23"/>
        <v/>
      </c>
    </row>
    <row r="36" spans="1:40" ht="18" customHeight="1">
      <c r="A36" s="74" t="str">
        <f>IF($C$9="Data Not Entered On Set-Up Worksheet","",IF(OR(VLOOKUP($C$9,County_Lookup,19,FALSE)="",VLOOKUP($C$9,County_Lookup,19,FALSE)=0),"",VLOOKUP($C$9,County_Lookup,19,FALSE)))</f>
        <v/>
      </c>
      <c r="B36" s="66"/>
      <c r="C36" s="59" t="str">
        <f t="shared" si="3"/>
        <v/>
      </c>
      <c r="D36" s="67" t="str">
        <f t="shared" si="24"/>
        <v/>
      </c>
      <c r="E36" s="66"/>
      <c r="F36" s="59" t="str">
        <f t="shared" si="4"/>
        <v/>
      </c>
      <c r="G36" s="67" t="str">
        <f t="shared" si="25"/>
        <v/>
      </c>
      <c r="H36" s="66"/>
      <c r="I36" s="59" t="str">
        <f t="shared" si="5"/>
        <v/>
      </c>
      <c r="J36" s="67" t="str">
        <f t="shared" si="26"/>
        <v/>
      </c>
      <c r="K36" s="71" t="str">
        <f t="shared" si="27"/>
        <v/>
      </c>
      <c r="L36" s="59" t="str">
        <f t="shared" si="28"/>
        <v/>
      </c>
      <c r="M36" s="67" t="str">
        <f t="shared" si="6"/>
        <v/>
      </c>
      <c r="N36" s="66"/>
      <c r="O36" s="59" t="str">
        <f t="shared" si="7"/>
        <v/>
      </c>
      <c r="P36" s="67" t="str">
        <f t="shared" si="8"/>
        <v/>
      </c>
      <c r="Q36" s="66"/>
      <c r="R36" s="59" t="str">
        <f t="shared" si="9"/>
        <v/>
      </c>
      <c r="S36" s="67" t="str">
        <f t="shared" si="10"/>
        <v/>
      </c>
      <c r="T36" s="66"/>
      <c r="U36" s="59" t="str">
        <f t="shared" si="11"/>
        <v/>
      </c>
      <c r="V36" s="67" t="str">
        <f t="shared" si="12"/>
        <v/>
      </c>
      <c r="W36" s="71" t="str">
        <f t="shared" si="29"/>
        <v/>
      </c>
      <c r="X36" s="59" t="str">
        <f t="shared" si="30"/>
        <v/>
      </c>
      <c r="Y36" s="67" t="str">
        <f t="shared" si="13"/>
        <v/>
      </c>
      <c r="Z36" s="66"/>
      <c r="AA36" s="59" t="str">
        <f t="shared" si="14"/>
        <v/>
      </c>
      <c r="AB36" s="67" t="str">
        <f t="shared" si="15"/>
        <v/>
      </c>
      <c r="AC36" s="66"/>
      <c r="AD36" s="59" t="str">
        <f t="shared" si="16"/>
        <v/>
      </c>
      <c r="AE36" s="67" t="str">
        <f t="shared" si="17"/>
        <v/>
      </c>
      <c r="AF36" s="66"/>
      <c r="AG36" s="59" t="str">
        <f t="shared" si="18"/>
        <v/>
      </c>
      <c r="AH36" s="67" t="str">
        <f t="shared" si="19"/>
        <v/>
      </c>
      <c r="AI36" s="71" t="str">
        <f t="shared" si="31"/>
        <v/>
      </c>
      <c r="AJ36" s="59" t="str">
        <f t="shared" si="20"/>
        <v/>
      </c>
      <c r="AK36" s="67" t="str">
        <f t="shared" si="21"/>
        <v/>
      </c>
      <c r="AL36" s="66"/>
      <c r="AM36" s="59" t="str">
        <f t="shared" si="22"/>
        <v/>
      </c>
      <c r="AN36" s="67" t="str">
        <f t="shared" si="23"/>
        <v/>
      </c>
    </row>
    <row r="37" spans="1:40" ht="18" customHeight="1">
      <c r="A37" s="74" t="str">
        <f>IF($C$9="Data Not Entered On Set-Up Worksheet","",IF(OR(VLOOKUP($C$9,County_Lookup,20,FALSE)="",VLOOKUP($C$9,County_Lookup,20,FALSE)=0),"",VLOOKUP($C$9,County_Lookup,20,FALSE)))</f>
        <v/>
      </c>
      <c r="B37" s="66"/>
      <c r="C37" s="59" t="str">
        <f t="shared" si="3"/>
        <v/>
      </c>
      <c r="D37" s="67" t="str">
        <f t="shared" si="24"/>
        <v/>
      </c>
      <c r="E37" s="66"/>
      <c r="F37" s="59" t="str">
        <f t="shared" si="4"/>
        <v/>
      </c>
      <c r="G37" s="67" t="str">
        <f t="shared" si="25"/>
        <v/>
      </c>
      <c r="H37" s="66"/>
      <c r="I37" s="59" t="str">
        <f t="shared" si="5"/>
        <v/>
      </c>
      <c r="J37" s="67" t="str">
        <f t="shared" si="26"/>
        <v/>
      </c>
      <c r="K37" s="71" t="str">
        <f t="shared" si="27"/>
        <v/>
      </c>
      <c r="L37" s="59" t="str">
        <f t="shared" si="28"/>
        <v/>
      </c>
      <c r="M37" s="67" t="str">
        <f t="shared" si="6"/>
        <v/>
      </c>
      <c r="N37" s="66"/>
      <c r="O37" s="59" t="str">
        <f t="shared" si="7"/>
        <v/>
      </c>
      <c r="P37" s="67" t="str">
        <f t="shared" si="8"/>
        <v/>
      </c>
      <c r="Q37" s="66"/>
      <c r="R37" s="59" t="str">
        <f t="shared" si="9"/>
        <v/>
      </c>
      <c r="S37" s="67" t="str">
        <f t="shared" si="10"/>
        <v/>
      </c>
      <c r="T37" s="66"/>
      <c r="U37" s="59" t="str">
        <f t="shared" si="11"/>
        <v/>
      </c>
      <c r="V37" s="67" t="str">
        <f t="shared" si="12"/>
        <v/>
      </c>
      <c r="W37" s="71" t="str">
        <f t="shared" si="29"/>
        <v/>
      </c>
      <c r="X37" s="59" t="str">
        <f t="shared" si="30"/>
        <v/>
      </c>
      <c r="Y37" s="67" t="str">
        <f t="shared" si="13"/>
        <v/>
      </c>
      <c r="Z37" s="66"/>
      <c r="AA37" s="59" t="str">
        <f t="shared" si="14"/>
        <v/>
      </c>
      <c r="AB37" s="67" t="str">
        <f t="shared" si="15"/>
        <v/>
      </c>
      <c r="AC37" s="66"/>
      <c r="AD37" s="59" t="str">
        <f t="shared" si="16"/>
        <v/>
      </c>
      <c r="AE37" s="67" t="str">
        <f t="shared" si="17"/>
        <v/>
      </c>
      <c r="AF37" s="66"/>
      <c r="AG37" s="59" t="str">
        <f t="shared" si="18"/>
        <v/>
      </c>
      <c r="AH37" s="67" t="str">
        <f t="shared" si="19"/>
        <v/>
      </c>
      <c r="AI37" s="71" t="str">
        <f t="shared" si="31"/>
        <v/>
      </c>
      <c r="AJ37" s="59" t="str">
        <f t="shared" si="20"/>
        <v/>
      </c>
      <c r="AK37" s="67" t="str">
        <f t="shared" si="21"/>
        <v/>
      </c>
      <c r="AL37" s="66"/>
      <c r="AM37" s="59" t="str">
        <f t="shared" si="22"/>
        <v/>
      </c>
      <c r="AN37" s="67" t="str">
        <f t="shared" si="23"/>
        <v/>
      </c>
    </row>
    <row r="38" spans="1:40" ht="18" customHeight="1">
      <c r="A38" s="74" t="str">
        <f>IF($C$9="Data Not Entered On Set-Up Worksheet","",IF(OR(VLOOKUP($C$9,County_Lookup,21,FALSE)="",VLOOKUP($C$9,County_Lookup,21,FALSE)=0),"",VLOOKUP($C$9,County_Lookup,21,FALSE)))</f>
        <v/>
      </c>
      <c r="B38" s="66"/>
      <c r="C38" s="59" t="str">
        <f t="shared" si="3"/>
        <v/>
      </c>
      <c r="D38" s="67" t="str">
        <f t="shared" si="24"/>
        <v/>
      </c>
      <c r="E38" s="66"/>
      <c r="F38" s="59" t="str">
        <f t="shared" si="4"/>
        <v/>
      </c>
      <c r="G38" s="67" t="str">
        <f t="shared" si="25"/>
        <v/>
      </c>
      <c r="H38" s="66"/>
      <c r="I38" s="59" t="str">
        <f t="shared" si="5"/>
        <v/>
      </c>
      <c r="J38" s="67" t="str">
        <f t="shared" si="26"/>
        <v/>
      </c>
      <c r="K38" s="71" t="str">
        <f t="shared" si="27"/>
        <v/>
      </c>
      <c r="L38" s="59" t="str">
        <f t="shared" si="28"/>
        <v/>
      </c>
      <c r="M38" s="67" t="str">
        <f t="shared" si="6"/>
        <v/>
      </c>
      <c r="N38" s="66"/>
      <c r="O38" s="59" t="str">
        <f t="shared" si="7"/>
        <v/>
      </c>
      <c r="P38" s="67" t="str">
        <f t="shared" si="8"/>
        <v/>
      </c>
      <c r="Q38" s="66"/>
      <c r="R38" s="59" t="str">
        <f t="shared" si="9"/>
        <v/>
      </c>
      <c r="S38" s="67" t="str">
        <f t="shared" si="10"/>
        <v/>
      </c>
      <c r="T38" s="66"/>
      <c r="U38" s="59" t="str">
        <f t="shared" si="11"/>
        <v/>
      </c>
      <c r="V38" s="67" t="str">
        <f t="shared" si="12"/>
        <v/>
      </c>
      <c r="W38" s="71" t="str">
        <f t="shared" si="29"/>
        <v/>
      </c>
      <c r="X38" s="59" t="str">
        <f t="shared" si="30"/>
        <v/>
      </c>
      <c r="Y38" s="67" t="str">
        <f t="shared" si="13"/>
        <v/>
      </c>
      <c r="Z38" s="66"/>
      <c r="AA38" s="59" t="str">
        <f t="shared" si="14"/>
        <v/>
      </c>
      <c r="AB38" s="67" t="str">
        <f t="shared" si="15"/>
        <v/>
      </c>
      <c r="AC38" s="66"/>
      <c r="AD38" s="59" t="str">
        <f t="shared" si="16"/>
        <v/>
      </c>
      <c r="AE38" s="67" t="str">
        <f t="shared" si="17"/>
        <v/>
      </c>
      <c r="AF38" s="66"/>
      <c r="AG38" s="59" t="str">
        <f t="shared" si="18"/>
        <v/>
      </c>
      <c r="AH38" s="67" t="str">
        <f t="shared" si="19"/>
        <v/>
      </c>
      <c r="AI38" s="71" t="str">
        <f t="shared" si="31"/>
        <v/>
      </c>
      <c r="AJ38" s="59" t="str">
        <f t="shared" si="20"/>
        <v/>
      </c>
      <c r="AK38" s="67" t="str">
        <f t="shared" si="21"/>
        <v/>
      </c>
      <c r="AL38" s="66"/>
      <c r="AM38" s="59" t="str">
        <f t="shared" si="22"/>
        <v/>
      </c>
      <c r="AN38" s="67" t="str">
        <f t="shared" si="23"/>
        <v/>
      </c>
    </row>
    <row r="39" spans="1:40" ht="18" customHeight="1">
      <c r="A39" s="73" t="str">
        <f>IF($C$9="Data Not Entered On Set-Up Worksheet","",IF(OR(VLOOKUP($C$9,County_Lookup,22,FALSE)="",VLOOKUP($C$9,County_Lookup,22,FALSE)=0),"",VLOOKUP($C$9,County_Lookup,22,FALSE)))</f>
        <v/>
      </c>
      <c r="B39" s="66"/>
      <c r="C39" s="59" t="str">
        <f t="shared" si="3"/>
        <v/>
      </c>
      <c r="D39" s="67" t="str">
        <f t="shared" si="24"/>
        <v/>
      </c>
      <c r="E39" s="66"/>
      <c r="F39" s="59" t="str">
        <f t="shared" si="4"/>
        <v/>
      </c>
      <c r="G39" s="67" t="str">
        <f t="shared" si="25"/>
        <v/>
      </c>
      <c r="H39" s="66"/>
      <c r="I39" s="59" t="str">
        <f t="shared" si="5"/>
        <v/>
      </c>
      <c r="J39" s="67" t="str">
        <f t="shared" si="26"/>
        <v/>
      </c>
      <c r="K39" s="71" t="str">
        <f t="shared" si="27"/>
        <v/>
      </c>
      <c r="L39" s="59" t="str">
        <f t="shared" si="28"/>
        <v/>
      </c>
      <c r="M39" s="67" t="str">
        <f t="shared" si="6"/>
        <v/>
      </c>
      <c r="N39" s="66"/>
      <c r="O39" s="59" t="str">
        <f t="shared" si="7"/>
        <v/>
      </c>
      <c r="P39" s="67" t="str">
        <f t="shared" si="8"/>
        <v/>
      </c>
      <c r="Q39" s="66"/>
      <c r="R39" s="59" t="str">
        <f t="shared" si="9"/>
        <v/>
      </c>
      <c r="S39" s="67" t="str">
        <f t="shared" si="10"/>
        <v/>
      </c>
      <c r="T39" s="66"/>
      <c r="U39" s="59" t="str">
        <f t="shared" si="11"/>
        <v/>
      </c>
      <c r="V39" s="67" t="str">
        <f t="shared" si="12"/>
        <v/>
      </c>
      <c r="W39" s="71" t="str">
        <f t="shared" si="29"/>
        <v/>
      </c>
      <c r="X39" s="59" t="str">
        <f t="shared" si="30"/>
        <v/>
      </c>
      <c r="Y39" s="67" t="str">
        <f t="shared" si="13"/>
        <v/>
      </c>
      <c r="Z39" s="66"/>
      <c r="AA39" s="59" t="str">
        <f t="shared" si="14"/>
        <v/>
      </c>
      <c r="AB39" s="67" t="str">
        <f t="shared" si="15"/>
        <v/>
      </c>
      <c r="AC39" s="66"/>
      <c r="AD39" s="59" t="str">
        <f t="shared" si="16"/>
        <v/>
      </c>
      <c r="AE39" s="67" t="str">
        <f t="shared" si="17"/>
        <v/>
      </c>
      <c r="AF39" s="66"/>
      <c r="AG39" s="59" t="str">
        <f t="shared" si="18"/>
        <v/>
      </c>
      <c r="AH39" s="67" t="str">
        <f t="shared" si="19"/>
        <v/>
      </c>
      <c r="AI39" s="71" t="str">
        <f t="shared" si="31"/>
        <v/>
      </c>
      <c r="AJ39" s="59" t="str">
        <f t="shared" si="20"/>
        <v/>
      </c>
      <c r="AK39" s="67" t="str">
        <f t="shared" si="21"/>
        <v/>
      </c>
      <c r="AL39" s="66"/>
      <c r="AM39" s="59" t="str">
        <f t="shared" si="22"/>
        <v/>
      </c>
      <c r="AN39" s="67" t="str">
        <f t="shared" si="23"/>
        <v/>
      </c>
    </row>
    <row r="40" spans="1:40" ht="18" customHeight="1">
      <c r="A40" s="74" t="str">
        <f>IF($C$9="Data Not Entered On Set-Up Worksheet","",IF(OR(VLOOKUP($C$9,County_Lookup,23,FALSE)="",VLOOKUP($C$9,County_Lookup,23,FALSE)=0),"",VLOOKUP($C$9,County_Lookup,23,FALSE)))</f>
        <v/>
      </c>
      <c r="B40" s="66"/>
      <c r="C40" s="59" t="str">
        <f t="shared" si="3"/>
        <v/>
      </c>
      <c r="D40" s="67" t="str">
        <f t="shared" si="24"/>
        <v/>
      </c>
      <c r="E40" s="66"/>
      <c r="F40" s="59" t="str">
        <f t="shared" si="4"/>
        <v/>
      </c>
      <c r="G40" s="67" t="str">
        <f t="shared" si="25"/>
        <v/>
      </c>
      <c r="H40" s="66"/>
      <c r="I40" s="59" t="str">
        <f t="shared" si="5"/>
        <v/>
      </c>
      <c r="J40" s="67" t="str">
        <f t="shared" si="26"/>
        <v/>
      </c>
      <c r="K40" s="71" t="str">
        <f t="shared" si="27"/>
        <v/>
      </c>
      <c r="L40" s="59" t="str">
        <f t="shared" si="28"/>
        <v/>
      </c>
      <c r="M40" s="67" t="str">
        <f t="shared" si="6"/>
        <v/>
      </c>
      <c r="N40" s="66"/>
      <c r="O40" s="59" t="str">
        <f t="shared" si="7"/>
        <v/>
      </c>
      <c r="P40" s="67" t="str">
        <f t="shared" si="8"/>
        <v/>
      </c>
      <c r="Q40" s="66"/>
      <c r="R40" s="59" t="str">
        <f t="shared" si="9"/>
        <v/>
      </c>
      <c r="S40" s="67" t="str">
        <f t="shared" si="10"/>
        <v/>
      </c>
      <c r="T40" s="66"/>
      <c r="U40" s="59" t="str">
        <f t="shared" si="11"/>
        <v/>
      </c>
      <c r="V40" s="67" t="str">
        <f t="shared" si="12"/>
        <v/>
      </c>
      <c r="W40" s="71" t="str">
        <f t="shared" si="29"/>
        <v/>
      </c>
      <c r="X40" s="59" t="str">
        <f t="shared" si="30"/>
        <v/>
      </c>
      <c r="Y40" s="67" t="str">
        <f t="shared" si="13"/>
        <v/>
      </c>
      <c r="Z40" s="66"/>
      <c r="AA40" s="59" t="str">
        <f t="shared" si="14"/>
        <v/>
      </c>
      <c r="AB40" s="67" t="str">
        <f t="shared" si="15"/>
        <v/>
      </c>
      <c r="AC40" s="66"/>
      <c r="AD40" s="59" t="str">
        <f t="shared" si="16"/>
        <v/>
      </c>
      <c r="AE40" s="67" t="str">
        <f t="shared" si="17"/>
        <v/>
      </c>
      <c r="AF40" s="66"/>
      <c r="AG40" s="59" t="str">
        <f t="shared" si="18"/>
        <v/>
      </c>
      <c r="AH40" s="67" t="str">
        <f t="shared" si="19"/>
        <v/>
      </c>
      <c r="AI40" s="71" t="str">
        <f t="shared" si="31"/>
        <v/>
      </c>
      <c r="AJ40" s="59" t="str">
        <f t="shared" si="20"/>
        <v/>
      </c>
      <c r="AK40" s="67" t="str">
        <f t="shared" si="21"/>
        <v/>
      </c>
      <c r="AL40" s="66"/>
      <c r="AM40" s="59" t="str">
        <f t="shared" si="22"/>
        <v/>
      </c>
      <c r="AN40" s="67" t="str">
        <f t="shared" si="23"/>
        <v/>
      </c>
    </row>
    <row r="41" spans="1:40" ht="18" customHeight="1">
      <c r="A41" s="74" t="str">
        <f>IF($C$9="Data Not Entered On Set-Up Worksheet","",IF(OR(VLOOKUP($C$9,County_Lookup,24,FALSE)="",VLOOKUP($C$9,County_Lookup,24,FALSE)=0),"",VLOOKUP($C$9,County_Lookup,24,FALSE)))</f>
        <v/>
      </c>
      <c r="B41" s="66"/>
      <c r="C41" s="59" t="str">
        <f t="shared" si="3"/>
        <v/>
      </c>
      <c r="D41" s="67" t="str">
        <f t="shared" si="24"/>
        <v/>
      </c>
      <c r="E41" s="66"/>
      <c r="F41" s="59" t="str">
        <f t="shared" si="4"/>
        <v/>
      </c>
      <c r="G41" s="67" t="str">
        <f t="shared" si="25"/>
        <v/>
      </c>
      <c r="H41" s="66"/>
      <c r="I41" s="59" t="str">
        <f t="shared" si="5"/>
        <v/>
      </c>
      <c r="J41" s="67" t="str">
        <f t="shared" si="26"/>
        <v/>
      </c>
      <c r="K41" s="71" t="str">
        <f t="shared" ref="K41:K44" si="32">IF($A41="","",SUM(E41,H41))</f>
        <v/>
      </c>
      <c r="L41" s="59" t="str">
        <f t="shared" si="28"/>
        <v/>
      </c>
      <c r="M41" s="67" t="str">
        <f t="shared" si="6"/>
        <v/>
      </c>
      <c r="N41" s="66"/>
      <c r="O41" s="59" t="str">
        <f t="shared" si="7"/>
        <v/>
      </c>
      <c r="P41" s="67" t="str">
        <f t="shared" si="8"/>
        <v/>
      </c>
      <c r="Q41" s="66"/>
      <c r="R41" s="59" t="str">
        <f t="shared" si="9"/>
        <v/>
      </c>
      <c r="S41" s="67" t="str">
        <f t="shared" si="10"/>
        <v/>
      </c>
      <c r="T41" s="66"/>
      <c r="U41" s="59" t="str">
        <f t="shared" si="11"/>
        <v/>
      </c>
      <c r="V41" s="67" t="str">
        <f t="shared" si="12"/>
        <v/>
      </c>
      <c r="W41" s="71" t="str">
        <f t="shared" ref="W41:W44" si="33">IF($A41="","",SUM(Q41,T41))</f>
        <v/>
      </c>
      <c r="X41" s="59" t="str">
        <f t="shared" si="30"/>
        <v/>
      </c>
      <c r="Y41" s="67" t="str">
        <f t="shared" si="13"/>
        <v/>
      </c>
      <c r="Z41" s="66"/>
      <c r="AA41" s="59" t="str">
        <f t="shared" si="14"/>
        <v/>
      </c>
      <c r="AB41" s="67" t="str">
        <f t="shared" si="15"/>
        <v/>
      </c>
      <c r="AC41" s="66"/>
      <c r="AD41" s="59" t="str">
        <f t="shared" si="16"/>
        <v/>
      </c>
      <c r="AE41" s="67" t="str">
        <f t="shared" si="17"/>
        <v/>
      </c>
      <c r="AF41" s="66"/>
      <c r="AG41" s="59" t="str">
        <f t="shared" si="18"/>
        <v/>
      </c>
      <c r="AH41" s="67" t="str">
        <f t="shared" si="19"/>
        <v/>
      </c>
      <c r="AI41" s="71" t="str">
        <f t="shared" ref="AI41:AI44" si="34">IF($A41="","",SUM(AC41,AF41))</f>
        <v/>
      </c>
      <c r="AJ41" s="59" t="str">
        <f t="shared" si="20"/>
        <v/>
      </c>
      <c r="AK41" s="67" t="str">
        <f t="shared" si="21"/>
        <v/>
      </c>
      <c r="AL41" s="66"/>
      <c r="AM41" s="59" t="str">
        <f t="shared" si="22"/>
        <v/>
      </c>
      <c r="AN41" s="67" t="str">
        <f t="shared" si="23"/>
        <v/>
      </c>
    </row>
    <row r="42" spans="1:40" ht="18" customHeight="1">
      <c r="A42" s="74" t="str">
        <f>IF($C$9="Data Not Entered On Set-Up Worksheet","",IF(OR(VLOOKUP($C$9,County_Lookup,25,FALSE)="",VLOOKUP($C$9,County_Lookup,25,FALSE)=0),"",VLOOKUP($C$9,County_Lookup,25,FALSE)))</f>
        <v/>
      </c>
      <c r="B42" s="66"/>
      <c r="C42" s="59" t="str">
        <f t="shared" si="3"/>
        <v/>
      </c>
      <c r="D42" s="67" t="str">
        <f t="shared" ref="D42:D44" si="35">IF(OR($A42="",$A42="Other"),"",IF(C42=0,0,B42/C42))</f>
        <v/>
      </c>
      <c r="E42" s="66"/>
      <c r="F42" s="59" t="str">
        <f t="shared" si="4"/>
        <v/>
      </c>
      <c r="G42" s="67" t="str">
        <f t="shared" ref="G42:G44" si="36">IF(OR($A42="",$A42="Other"),"",IF(F42=0,0,E42/F42))</f>
        <v/>
      </c>
      <c r="H42" s="66"/>
      <c r="I42" s="59" t="str">
        <f t="shared" si="5"/>
        <v/>
      </c>
      <c r="J42" s="67" t="str">
        <f t="shared" ref="J42:J44" si="37">IF(OR($A42="",$A42="Other"),"",IF(I42=0,0,H42/I42))</f>
        <v/>
      </c>
      <c r="K42" s="71" t="str">
        <f t="shared" si="32"/>
        <v/>
      </c>
      <c r="L42" s="59" t="str">
        <f t="shared" ref="L42:L44" si="38">IF(OR($A42="",$A42="Other"),"",SUM(F42,I42))</f>
        <v/>
      </c>
      <c r="M42" s="67" t="str">
        <f t="shared" ref="M42:M44" si="39">IF(OR($A42="",$A42="Other"),"",IF(L42=0,0,K42/L42))</f>
        <v/>
      </c>
      <c r="N42" s="66"/>
      <c r="O42" s="59" t="str">
        <f t="shared" si="7"/>
        <v/>
      </c>
      <c r="P42" s="67" t="str">
        <f t="shared" ref="P42:P44" si="40">IF(OR($A42="",$A42="Other"),"",IF(O42=0,0,N42/O42))</f>
        <v/>
      </c>
      <c r="Q42" s="66"/>
      <c r="R42" s="59" t="str">
        <f t="shared" si="9"/>
        <v/>
      </c>
      <c r="S42" s="67" t="str">
        <f t="shared" ref="S42:S44" si="41">IF(OR($A42="",$A42="Other"),"",IF(R42=0,0,Q42/R42))</f>
        <v/>
      </c>
      <c r="T42" s="66"/>
      <c r="U42" s="59" t="str">
        <f t="shared" si="11"/>
        <v/>
      </c>
      <c r="V42" s="67" t="str">
        <f t="shared" ref="V42:V44" si="42">IF(OR($A42="",$A42="Other"),"",IF(U42=0,0,T42/U42))</f>
        <v/>
      </c>
      <c r="W42" s="71" t="str">
        <f t="shared" si="33"/>
        <v/>
      </c>
      <c r="X42" s="59" t="str">
        <f t="shared" ref="X42:X44" si="43">IF(OR($A42="",$A42="Other"),"",SUM(R42,U42))</f>
        <v/>
      </c>
      <c r="Y42" s="67" t="str">
        <f t="shared" ref="Y42:Y44" si="44">IF(OR($A42="",$A42="Other"),"",IF(X42=0,0,W42/X42))</f>
        <v/>
      </c>
      <c r="Z42" s="66"/>
      <c r="AA42" s="59" t="str">
        <f t="shared" si="14"/>
        <v/>
      </c>
      <c r="AB42" s="67" t="str">
        <f t="shared" ref="AB42:AB44" si="45">IF(OR($A42="",$A42="Other"),"",IF(AA42=0,0,Z42/AA42))</f>
        <v/>
      </c>
      <c r="AC42" s="66"/>
      <c r="AD42" s="59" t="str">
        <f t="shared" si="16"/>
        <v/>
      </c>
      <c r="AE42" s="67" t="str">
        <f t="shared" ref="AE42:AE44" si="46">IF(OR($A42="",$A42="Other"),"",IF(AD42=0,0,AC42/AD42))</f>
        <v/>
      </c>
      <c r="AF42" s="66"/>
      <c r="AG42" s="59" t="str">
        <f t="shared" si="18"/>
        <v/>
      </c>
      <c r="AH42" s="67" t="str">
        <f t="shared" ref="AH42:AH44" si="47">IF(OR($A42="",$A42="Other"),"",IF(AG42=0,0,AF42/AG42))</f>
        <v/>
      </c>
      <c r="AI42" s="71" t="str">
        <f t="shared" si="34"/>
        <v/>
      </c>
      <c r="AJ42" s="59" t="str">
        <f t="shared" ref="AJ42:AJ44" si="48">IF(OR($A42="",$A42="Other"),"",SUM(AD42,AG42))</f>
        <v/>
      </c>
      <c r="AK42" s="67" t="str">
        <f t="shared" ref="AK42:AK44" si="49">IF(OR($A42="",$A42="Other"),"",IF(AJ42=0,0,AI42/AJ42))</f>
        <v/>
      </c>
      <c r="AL42" s="66"/>
      <c r="AM42" s="59" t="str">
        <f t="shared" si="22"/>
        <v/>
      </c>
      <c r="AN42" s="67" t="str">
        <f t="shared" ref="AN42:AN44" si="50">IF(OR($A42="",$A42="Other"),"",IF(AM42=0,0,AL42/AM42))</f>
        <v/>
      </c>
    </row>
    <row r="43" spans="1:40" ht="18" customHeight="1">
      <c r="A43" s="74" t="str">
        <f>IF($C$9="Data Not Entered On Set-Up Worksheet","",IF(OR(VLOOKUP($C$9,County_Lookup,26,FALSE)="",VLOOKUP($C$9,County_Lookup,26,FALSE)=0),"",VLOOKUP($C$9,County_Lookup,26,FALSE)))</f>
        <v/>
      </c>
      <c r="B43" s="66"/>
      <c r="C43" s="59" t="str">
        <f t="shared" si="3"/>
        <v/>
      </c>
      <c r="D43" s="67" t="str">
        <f t="shared" si="35"/>
        <v/>
      </c>
      <c r="E43" s="66"/>
      <c r="F43" s="59" t="str">
        <f t="shared" si="4"/>
        <v/>
      </c>
      <c r="G43" s="67" t="str">
        <f t="shared" si="36"/>
        <v/>
      </c>
      <c r="H43" s="66"/>
      <c r="I43" s="59" t="str">
        <f t="shared" si="5"/>
        <v/>
      </c>
      <c r="J43" s="67" t="str">
        <f t="shared" si="37"/>
        <v/>
      </c>
      <c r="K43" s="71" t="str">
        <f t="shared" si="32"/>
        <v/>
      </c>
      <c r="L43" s="59" t="str">
        <f t="shared" si="38"/>
        <v/>
      </c>
      <c r="M43" s="67" t="str">
        <f t="shared" si="39"/>
        <v/>
      </c>
      <c r="N43" s="66"/>
      <c r="O43" s="59" t="str">
        <f t="shared" si="7"/>
        <v/>
      </c>
      <c r="P43" s="67" t="str">
        <f t="shared" si="40"/>
        <v/>
      </c>
      <c r="Q43" s="66"/>
      <c r="R43" s="59" t="str">
        <f t="shared" si="9"/>
        <v/>
      </c>
      <c r="S43" s="67" t="str">
        <f t="shared" si="41"/>
        <v/>
      </c>
      <c r="T43" s="66"/>
      <c r="U43" s="59" t="str">
        <f t="shared" si="11"/>
        <v/>
      </c>
      <c r="V43" s="67" t="str">
        <f t="shared" si="42"/>
        <v/>
      </c>
      <c r="W43" s="71" t="str">
        <f t="shared" si="33"/>
        <v/>
      </c>
      <c r="X43" s="59" t="str">
        <f t="shared" si="43"/>
        <v/>
      </c>
      <c r="Y43" s="67" t="str">
        <f t="shared" si="44"/>
        <v/>
      </c>
      <c r="Z43" s="66"/>
      <c r="AA43" s="59" t="str">
        <f t="shared" si="14"/>
        <v/>
      </c>
      <c r="AB43" s="67" t="str">
        <f t="shared" si="45"/>
        <v/>
      </c>
      <c r="AC43" s="66"/>
      <c r="AD43" s="59" t="str">
        <f t="shared" si="16"/>
        <v/>
      </c>
      <c r="AE43" s="67" t="str">
        <f t="shared" si="46"/>
        <v/>
      </c>
      <c r="AF43" s="66"/>
      <c r="AG43" s="59" t="str">
        <f t="shared" si="18"/>
        <v/>
      </c>
      <c r="AH43" s="67" t="str">
        <f t="shared" si="47"/>
        <v/>
      </c>
      <c r="AI43" s="71" t="str">
        <f t="shared" si="34"/>
        <v/>
      </c>
      <c r="AJ43" s="59" t="str">
        <f t="shared" si="48"/>
        <v/>
      </c>
      <c r="AK43" s="67" t="str">
        <f t="shared" si="49"/>
        <v/>
      </c>
      <c r="AL43" s="66"/>
      <c r="AM43" s="59" t="str">
        <f t="shared" si="22"/>
        <v/>
      </c>
      <c r="AN43" s="67" t="str">
        <f t="shared" si="50"/>
        <v/>
      </c>
    </row>
    <row r="44" spans="1:40" ht="18" customHeight="1">
      <c r="A44" s="74" t="str">
        <f>IF($C$9="Data Not Entered On Set-Up Worksheet","",IF(OR(VLOOKUP($C$9,County_Lookup,27,FALSE)="",VLOOKUP($C$9,County_Lookup,27,FALSE)=0),"",VLOOKUP($C$9,County_Lookup,27,FALSE)))</f>
        <v/>
      </c>
      <c r="B44" s="66"/>
      <c r="C44" s="59" t="str">
        <f t="shared" si="3"/>
        <v/>
      </c>
      <c r="D44" s="67" t="str">
        <f t="shared" si="35"/>
        <v/>
      </c>
      <c r="E44" s="66"/>
      <c r="F44" s="59" t="str">
        <f t="shared" si="4"/>
        <v/>
      </c>
      <c r="G44" s="67" t="str">
        <f t="shared" si="36"/>
        <v/>
      </c>
      <c r="H44" s="66"/>
      <c r="I44" s="59" t="str">
        <f t="shared" si="5"/>
        <v/>
      </c>
      <c r="J44" s="67" t="str">
        <f t="shared" si="37"/>
        <v/>
      </c>
      <c r="K44" s="71" t="str">
        <f t="shared" si="32"/>
        <v/>
      </c>
      <c r="L44" s="59" t="str">
        <f t="shared" si="38"/>
        <v/>
      </c>
      <c r="M44" s="67" t="str">
        <f t="shared" si="39"/>
        <v/>
      </c>
      <c r="N44" s="66"/>
      <c r="O44" s="59" t="str">
        <f t="shared" si="7"/>
        <v/>
      </c>
      <c r="P44" s="67" t="str">
        <f t="shared" si="40"/>
        <v/>
      </c>
      <c r="Q44" s="66"/>
      <c r="R44" s="59" t="str">
        <f t="shared" si="9"/>
        <v/>
      </c>
      <c r="S44" s="67" t="str">
        <f t="shared" si="41"/>
        <v/>
      </c>
      <c r="T44" s="66"/>
      <c r="U44" s="59" t="str">
        <f t="shared" si="11"/>
        <v/>
      </c>
      <c r="V44" s="67" t="str">
        <f t="shared" si="42"/>
        <v/>
      </c>
      <c r="W44" s="71" t="str">
        <f t="shared" si="33"/>
        <v/>
      </c>
      <c r="X44" s="59" t="str">
        <f t="shared" si="43"/>
        <v/>
      </c>
      <c r="Y44" s="67" t="str">
        <f t="shared" si="44"/>
        <v/>
      </c>
      <c r="Z44" s="66"/>
      <c r="AA44" s="59" t="str">
        <f t="shared" si="14"/>
        <v/>
      </c>
      <c r="AB44" s="67" t="str">
        <f t="shared" si="45"/>
        <v/>
      </c>
      <c r="AC44" s="66"/>
      <c r="AD44" s="59" t="str">
        <f t="shared" si="16"/>
        <v/>
      </c>
      <c r="AE44" s="67" t="str">
        <f t="shared" si="46"/>
        <v/>
      </c>
      <c r="AF44" s="66"/>
      <c r="AG44" s="59" t="str">
        <f t="shared" si="18"/>
        <v/>
      </c>
      <c r="AH44" s="67" t="str">
        <f t="shared" si="47"/>
        <v/>
      </c>
      <c r="AI44" s="71" t="str">
        <f t="shared" si="34"/>
        <v/>
      </c>
      <c r="AJ44" s="59" t="str">
        <f t="shared" si="48"/>
        <v/>
      </c>
      <c r="AK44" s="67" t="str">
        <f t="shared" si="49"/>
        <v/>
      </c>
      <c r="AL44" s="66"/>
      <c r="AM44" s="59" t="str">
        <f t="shared" si="22"/>
        <v/>
      </c>
      <c r="AN44" s="67" t="str">
        <f t="shared" si="50"/>
        <v/>
      </c>
    </row>
    <row r="45" spans="1:40" ht="18" customHeight="1">
      <c r="A45" s="74" t="str">
        <f>IF($C$9="Data Not Entered On Set-Up Worksheet","",IF(OR(VLOOKUP($C$9,County_Lookup,28,FALSE)="",VLOOKUP($C$9,County_Lookup,28,FALSE)=0),"",VLOOKUP($C$9,County_Lookup,28,FALSE)))</f>
        <v/>
      </c>
      <c r="B45" s="66"/>
      <c r="C45" s="59" t="str">
        <f t="shared" si="3"/>
        <v/>
      </c>
      <c r="D45" s="67" t="str">
        <f t="shared" si="24"/>
        <v/>
      </c>
      <c r="E45" s="66"/>
      <c r="F45" s="59" t="str">
        <f t="shared" si="4"/>
        <v/>
      </c>
      <c r="G45" s="67" t="str">
        <f t="shared" si="25"/>
        <v/>
      </c>
      <c r="H45" s="66"/>
      <c r="I45" s="59" t="str">
        <f t="shared" si="5"/>
        <v/>
      </c>
      <c r="J45" s="67" t="str">
        <f t="shared" si="26"/>
        <v/>
      </c>
      <c r="K45" s="71" t="str">
        <f t="shared" si="27"/>
        <v/>
      </c>
      <c r="L45" s="59" t="str">
        <f t="shared" si="28"/>
        <v/>
      </c>
      <c r="M45" s="67" t="str">
        <f t="shared" si="6"/>
        <v/>
      </c>
      <c r="N45" s="66"/>
      <c r="O45" s="59" t="str">
        <f t="shared" si="7"/>
        <v/>
      </c>
      <c r="P45" s="67" t="str">
        <f t="shared" si="8"/>
        <v/>
      </c>
      <c r="Q45" s="66"/>
      <c r="R45" s="59" t="str">
        <f t="shared" si="9"/>
        <v/>
      </c>
      <c r="S45" s="67" t="str">
        <f t="shared" si="10"/>
        <v/>
      </c>
      <c r="T45" s="66"/>
      <c r="U45" s="59" t="str">
        <f t="shared" si="11"/>
        <v/>
      </c>
      <c r="V45" s="67" t="str">
        <f t="shared" si="12"/>
        <v/>
      </c>
      <c r="W45" s="71" t="str">
        <f t="shared" si="29"/>
        <v/>
      </c>
      <c r="X45" s="59" t="str">
        <f t="shared" si="30"/>
        <v/>
      </c>
      <c r="Y45" s="67" t="str">
        <f t="shared" si="13"/>
        <v/>
      </c>
      <c r="Z45" s="66"/>
      <c r="AA45" s="59" t="str">
        <f t="shared" si="14"/>
        <v/>
      </c>
      <c r="AB45" s="67" t="str">
        <f t="shared" si="15"/>
        <v/>
      </c>
      <c r="AC45" s="66"/>
      <c r="AD45" s="59" t="str">
        <f t="shared" si="16"/>
        <v/>
      </c>
      <c r="AE45" s="67" t="str">
        <f t="shared" si="17"/>
        <v/>
      </c>
      <c r="AF45" s="66"/>
      <c r="AG45" s="59" t="str">
        <f t="shared" si="18"/>
        <v/>
      </c>
      <c r="AH45" s="67" t="str">
        <f t="shared" si="19"/>
        <v/>
      </c>
      <c r="AI45" s="71" t="str">
        <f t="shared" si="31"/>
        <v/>
      </c>
      <c r="AJ45" s="59" t="str">
        <f t="shared" si="20"/>
        <v/>
      </c>
      <c r="AK45" s="67" t="str">
        <f t="shared" si="21"/>
        <v/>
      </c>
      <c r="AL45" s="66"/>
      <c r="AM45" s="59" t="str">
        <f t="shared" si="22"/>
        <v/>
      </c>
      <c r="AN45" s="67" t="str">
        <f t="shared" si="23"/>
        <v/>
      </c>
    </row>
    <row r="46" spans="1:40" ht="18" customHeight="1" thickBot="1">
      <c r="A46" s="75" t="s">
        <v>0</v>
      </c>
      <c r="B46" s="68">
        <f>SUM(B19:B45)</f>
        <v>0</v>
      </c>
      <c r="C46" s="69">
        <f>SUM(C19:C45)</f>
        <v>0</v>
      </c>
      <c r="D46" s="70">
        <f t="shared" ref="D46" si="51">IF(C46=0,0,B46/C46)</f>
        <v>0</v>
      </c>
      <c r="E46" s="68">
        <f>SUM(E19:E45)</f>
        <v>0</v>
      </c>
      <c r="F46" s="69">
        <f>SUM(F19:F45)</f>
        <v>0</v>
      </c>
      <c r="G46" s="70">
        <f t="shared" ref="G46" si="52">IF(F46=0,0,E46/F46)</f>
        <v>0</v>
      </c>
      <c r="H46" s="68">
        <f>SUM(H19:H45)</f>
        <v>0</v>
      </c>
      <c r="I46" s="69">
        <f>SUM(I19:I45)</f>
        <v>0</v>
      </c>
      <c r="J46" s="70">
        <f t="shared" ref="J46" si="53">IF(I46=0,0,H46/I46)</f>
        <v>0</v>
      </c>
      <c r="K46" s="68">
        <f>SUM(K19:K45)</f>
        <v>0</v>
      </c>
      <c r="L46" s="69">
        <f>SUM(L19:L45)</f>
        <v>0</v>
      </c>
      <c r="M46" s="70">
        <f t="shared" ref="M46" si="54">IF(L46=0,0,K46/L46)</f>
        <v>0</v>
      </c>
      <c r="N46" s="68">
        <f>SUM(N19:N45)</f>
        <v>0</v>
      </c>
      <c r="O46" s="69">
        <f>SUM(O19:O45)</f>
        <v>0</v>
      </c>
      <c r="P46" s="70">
        <f t="shared" ref="P46" si="55">IF(O46=0,0,N46/O46)</f>
        <v>0</v>
      </c>
      <c r="Q46" s="68">
        <f>SUM(Q19:Q45)</f>
        <v>0</v>
      </c>
      <c r="R46" s="69">
        <f>SUM(R19:R45)</f>
        <v>0</v>
      </c>
      <c r="S46" s="70">
        <f t="shared" ref="S46" si="56">IF(R46=0,0,Q46/R46)</f>
        <v>0</v>
      </c>
      <c r="T46" s="68">
        <f>SUM(T19:T45)</f>
        <v>0</v>
      </c>
      <c r="U46" s="69">
        <f>SUM(U19:U45)</f>
        <v>0</v>
      </c>
      <c r="V46" s="70">
        <f t="shared" ref="V46" si="57">IF(U46=0,0,T46/U46)</f>
        <v>0</v>
      </c>
      <c r="W46" s="68">
        <f>SUM(W19:W45)</f>
        <v>0</v>
      </c>
      <c r="X46" s="69">
        <f>SUM(X19:X45)</f>
        <v>0</v>
      </c>
      <c r="Y46" s="70">
        <f t="shared" ref="Y46" si="58">IF(X46=0,0,W46/X46)</f>
        <v>0</v>
      </c>
      <c r="Z46" s="68">
        <f>SUM(Z19:Z45)</f>
        <v>0</v>
      </c>
      <c r="AA46" s="69">
        <f>SUM(AA19:AA45)</f>
        <v>0</v>
      </c>
      <c r="AB46" s="70">
        <f t="shared" ref="AB46" si="59">IF(AA46=0,0,Z46/AA46)</f>
        <v>0</v>
      </c>
      <c r="AC46" s="68">
        <f>SUM(AC19:AC45)</f>
        <v>0</v>
      </c>
      <c r="AD46" s="69">
        <f>SUM(AD19:AD45)</f>
        <v>0</v>
      </c>
      <c r="AE46" s="70">
        <f t="shared" ref="AE46" si="60">IF(AD46=0,0,AC46/AD46)</f>
        <v>0</v>
      </c>
      <c r="AF46" s="68">
        <f>SUM(AF19:AF45)</f>
        <v>0</v>
      </c>
      <c r="AG46" s="69">
        <f>SUM(AG19:AG45)</f>
        <v>0</v>
      </c>
      <c r="AH46" s="70">
        <f t="shared" ref="AH46" si="61">IF(AG46=0,0,AF46/AG46)</f>
        <v>0</v>
      </c>
      <c r="AI46" s="68">
        <f>SUM(AI19:AI45)</f>
        <v>0</v>
      </c>
      <c r="AJ46" s="69">
        <f>SUM(AJ19:AJ45)</f>
        <v>0</v>
      </c>
      <c r="AK46" s="70">
        <f t="shared" ref="AK46" si="62">IF(AJ46=0,0,AI46/AJ46)</f>
        <v>0</v>
      </c>
      <c r="AL46" s="68">
        <f>SUM(AL19:AL45)</f>
        <v>0</v>
      </c>
      <c r="AM46" s="69">
        <f>SUM(AM19:AM45)</f>
        <v>0</v>
      </c>
      <c r="AN46" s="70">
        <f t="shared" ref="AN46" si="63">IF(AM46=0,0,AL46/AM46)</f>
        <v>0</v>
      </c>
    </row>
    <row r="48" spans="1:40" ht="20.100000000000001" customHeight="1">
      <c r="A48" s="205" t="s">
        <v>232</v>
      </c>
      <c r="B48"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2019 - Jun 2020)</v>
      </c>
      <c r="C48" s="159"/>
      <c r="D48" s="159"/>
      <c r="E48" s="159"/>
      <c r="F48" s="159"/>
      <c r="G48" s="159"/>
      <c r="H48" s="159"/>
      <c r="I48" s="159"/>
      <c r="J48" s="159"/>
      <c r="K48" s="159"/>
      <c r="L48" s="159"/>
      <c r="M48" s="159"/>
      <c r="N48" s="159" t="str">
        <f>$B$48</f>
        <v>State Fiscal Year-To-Date (Jul 2019 - Jun 2020)</v>
      </c>
      <c r="O48" s="159"/>
      <c r="P48" s="159"/>
      <c r="Q48" s="159"/>
      <c r="R48" s="159"/>
      <c r="S48" s="159"/>
      <c r="T48" s="159"/>
      <c r="U48" s="159"/>
      <c r="V48" s="159"/>
      <c r="W48" s="159"/>
      <c r="X48" s="159"/>
      <c r="Y48" s="159"/>
      <c r="Z48" s="159" t="str">
        <f>$B$48</f>
        <v>State Fiscal Year-To-Date (Jul 2019 - Jun 2020)</v>
      </c>
      <c r="AA48" s="159"/>
      <c r="AB48" s="159"/>
      <c r="AC48" s="159"/>
      <c r="AD48" s="159"/>
      <c r="AE48" s="159"/>
      <c r="AF48" s="159"/>
      <c r="AG48" s="159"/>
      <c r="AH48" s="159"/>
      <c r="AI48" s="159"/>
      <c r="AJ48" s="159"/>
      <c r="AK48" s="159"/>
      <c r="AL48" s="159" t="str">
        <f>$B$48</f>
        <v>State Fiscal Year-To-Date (Jul 2019 - Jun 2020)</v>
      </c>
      <c r="AM48" s="43"/>
      <c r="AN48" s="43"/>
    </row>
    <row r="49" spans="1:46" ht="13.5" thickBot="1"/>
    <row r="50" spans="1:46" ht="18" customHeight="1" thickBot="1">
      <c r="A50" s="146" t="s">
        <v>199</v>
      </c>
      <c r="B50" s="150" t="s">
        <v>196</v>
      </c>
      <c r="C50" s="151"/>
      <c r="D50" s="152"/>
      <c r="E50" s="60" t="s">
        <v>197</v>
      </c>
      <c r="F50" s="147"/>
      <c r="G50" s="147"/>
      <c r="H50" s="147"/>
      <c r="I50" s="147"/>
      <c r="J50" s="147"/>
      <c r="K50" s="147"/>
      <c r="L50" s="147"/>
      <c r="M50" s="148"/>
      <c r="N50" s="150" t="s">
        <v>201</v>
      </c>
      <c r="O50" s="151"/>
      <c r="P50" s="152"/>
      <c r="Q50" s="60" t="s">
        <v>202</v>
      </c>
      <c r="R50" s="147"/>
      <c r="S50" s="147"/>
      <c r="T50" s="147"/>
      <c r="U50" s="147"/>
      <c r="V50" s="147"/>
      <c r="W50" s="147"/>
      <c r="X50" s="147"/>
      <c r="Y50" s="148"/>
      <c r="Z50" s="150" t="s">
        <v>203</v>
      </c>
      <c r="AA50" s="151"/>
      <c r="AB50" s="152"/>
      <c r="AC50" s="60" t="s">
        <v>204</v>
      </c>
      <c r="AD50" s="147"/>
      <c r="AE50" s="147"/>
      <c r="AF50" s="147"/>
      <c r="AG50" s="147"/>
      <c r="AH50" s="147"/>
      <c r="AI50" s="147"/>
      <c r="AJ50" s="147"/>
      <c r="AK50" s="148"/>
      <c r="AL50" s="150" t="s">
        <v>208</v>
      </c>
      <c r="AM50" s="151"/>
      <c r="AN50" s="152"/>
    </row>
    <row r="51" spans="1:46" s="34" customFormat="1" ht="18" customHeight="1" thickBot="1">
      <c r="A51" s="149" t="s">
        <v>200</v>
      </c>
      <c r="B51" s="150" t="s">
        <v>194</v>
      </c>
      <c r="C51" s="153"/>
      <c r="D51" s="154"/>
      <c r="E51" s="60" t="s">
        <v>141</v>
      </c>
      <c r="F51" s="61"/>
      <c r="G51" s="62"/>
      <c r="H51" s="60" t="s">
        <v>225</v>
      </c>
      <c r="I51" s="61"/>
      <c r="J51" s="62"/>
      <c r="K51" s="60" t="s">
        <v>226</v>
      </c>
      <c r="L51" s="61"/>
      <c r="M51" s="62"/>
      <c r="N51" s="150" t="s">
        <v>194</v>
      </c>
      <c r="O51" s="153"/>
      <c r="P51" s="154"/>
      <c r="Q51" s="60" t="s">
        <v>141</v>
      </c>
      <c r="R51" s="61"/>
      <c r="S51" s="62"/>
      <c r="T51" s="60" t="s">
        <v>225</v>
      </c>
      <c r="U51" s="61"/>
      <c r="V51" s="62"/>
      <c r="W51" s="60" t="s">
        <v>226</v>
      </c>
      <c r="X51" s="61"/>
      <c r="Y51" s="62"/>
      <c r="Z51" s="150" t="s">
        <v>194</v>
      </c>
      <c r="AA51" s="153"/>
      <c r="AB51" s="154"/>
      <c r="AC51" s="60" t="s">
        <v>141</v>
      </c>
      <c r="AD51" s="61"/>
      <c r="AE51" s="62"/>
      <c r="AF51" s="60" t="s">
        <v>225</v>
      </c>
      <c r="AG51" s="61"/>
      <c r="AH51" s="62"/>
      <c r="AI51" s="60" t="s">
        <v>226</v>
      </c>
      <c r="AJ51" s="61"/>
      <c r="AK51" s="62"/>
      <c r="AL51" s="150" t="s">
        <v>227</v>
      </c>
      <c r="AM51" s="153"/>
      <c r="AN51" s="154"/>
    </row>
    <row r="52" spans="1:46" s="34" customFormat="1" ht="13.5" thickBot="1">
      <c r="A52" s="30"/>
      <c r="B52" s="53" t="s">
        <v>3</v>
      </c>
      <c r="C52" s="54" t="s">
        <v>4</v>
      </c>
      <c r="D52" s="55" t="s">
        <v>5</v>
      </c>
      <c r="E52" s="53" t="s">
        <v>3</v>
      </c>
      <c r="F52" s="54" t="s">
        <v>4</v>
      </c>
      <c r="G52" s="55" t="s">
        <v>5</v>
      </c>
      <c r="H52" s="53" t="s">
        <v>3</v>
      </c>
      <c r="I52" s="54" t="s">
        <v>4</v>
      </c>
      <c r="J52" s="55" t="s">
        <v>5</v>
      </c>
      <c r="K52" s="53" t="s">
        <v>3</v>
      </c>
      <c r="L52" s="54" t="s">
        <v>4</v>
      </c>
      <c r="M52" s="55" t="s">
        <v>5</v>
      </c>
      <c r="N52" s="53" t="s">
        <v>3</v>
      </c>
      <c r="O52" s="54" t="s">
        <v>4</v>
      </c>
      <c r="P52" s="55" t="s">
        <v>5</v>
      </c>
      <c r="Q52" s="53" t="s">
        <v>3</v>
      </c>
      <c r="R52" s="54" t="s">
        <v>4</v>
      </c>
      <c r="S52" s="55" t="s">
        <v>5</v>
      </c>
      <c r="T52" s="53" t="s">
        <v>3</v>
      </c>
      <c r="U52" s="54" t="s">
        <v>4</v>
      </c>
      <c r="V52" s="55" t="s">
        <v>5</v>
      </c>
      <c r="W52" s="53" t="s">
        <v>3</v>
      </c>
      <c r="X52" s="54" t="s">
        <v>4</v>
      </c>
      <c r="Y52" s="55" t="s">
        <v>5</v>
      </c>
      <c r="Z52" s="53" t="s">
        <v>3</v>
      </c>
      <c r="AA52" s="54" t="s">
        <v>4</v>
      </c>
      <c r="AB52" s="55" t="s">
        <v>5</v>
      </c>
      <c r="AC52" s="53" t="s">
        <v>3</v>
      </c>
      <c r="AD52" s="54" t="s">
        <v>4</v>
      </c>
      <c r="AE52" s="55" t="s">
        <v>5</v>
      </c>
      <c r="AF52" s="53" t="s">
        <v>3</v>
      </c>
      <c r="AG52" s="54" t="s">
        <v>4</v>
      </c>
      <c r="AH52" s="55" t="s">
        <v>5</v>
      </c>
      <c r="AI52" s="53" t="s">
        <v>3</v>
      </c>
      <c r="AJ52" s="54" t="s">
        <v>4</v>
      </c>
      <c r="AK52" s="55" t="s">
        <v>5</v>
      </c>
      <c r="AL52" s="53" t="s">
        <v>3</v>
      </c>
      <c r="AM52" s="54" t="s">
        <v>4</v>
      </c>
      <c r="AN52" s="55" t="s">
        <v>5</v>
      </c>
      <c r="AO52" s="33"/>
      <c r="AP52" s="30"/>
      <c r="AQ52" s="30"/>
      <c r="AR52" s="30"/>
      <c r="AS52" s="30"/>
      <c r="AT52" s="30"/>
    </row>
    <row r="53" spans="1:46" ht="39.950000000000003" customHeight="1">
      <c r="A53" s="72" t="s">
        <v>38</v>
      </c>
      <c r="B53" s="155" t="s">
        <v>347</v>
      </c>
      <c r="C53" s="156" t="s">
        <v>209</v>
      </c>
      <c r="D53" s="157" t="s">
        <v>348</v>
      </c>
      <c r="E53" s="63" t="s">
        <v>347</v>
      </c>
      <c r="F53" s="64" t="s">
        <v>209</v>
      </c>
      <c r="G53" s="65" t="s">
        <v>348</v>
      </c>
      <c r="H53" s="63" t="s">
        <v>347</v>
      </c>
      <c r="I53" s="64" t="s">
        <v>209</v>
      </c>
      <c r="J53" s="65" t="s">
        <v>348</v>
      </c>
      <c r="K53" s="63" t="s">
        <v>347</v>
      </c>
      <c r="L53" s="64" t="s">
        <v>209</v>
      </c>
      <c r="M53" s="65" t="s">
        <v>348</v>
      </c>
      <c r="N53" s="155" t="s">
        <v>347</v>
      </c>
      <c r="O53" s="156" t="s">
        <v>209</v>
      </c>
      <c r="P53" s="157" t="s">
        <v>348</v>
      </c>
      <c r="Q53" s="63" t="s">
        <v>347</v>
      </c>
      <c r="R53" s="64" t="s">
        <v>209</v>
      </c>
      <c r="S53" s="65" t="s">
        <v>348</v>
      </c>
      <c r="T53" s="63" t="s">
        <v>347</v>
      </c>
      <c r="U53" s="64" t="s">
        <v>209</v>
      </c>
      <c r="V53" s="65" t="s">
        <v>348</v>
      </c>
      <c r="W53" s="63" t="s">
        <v>347</v>
      </c>
      <c r="X53" s="64" t="s">
        <v>209</v>
      </c>
      <c r="Y53" s="65" t="s">
        <v>348</v>
      </c>
      <c r="Z53" s="155" t="s">
        <v>347</v>
      </c>
      <c r="AA53" s="156" t="s">
        <v>209</v>
      </c>
      <c r="AB53" s="157" t="s">
        <v>348</v>
      </c>
      <c r="AC53" s="63" t="s">
        <v>347</v>
      </c>
      <c r="AD53" s="64" t="s">
        <v>209</v>
      </c>
      <c r="AE53" s="65" t="s">
        <v>348</v>
      </c>
      <c r="AF53" s="63" t="s">
        <v>347</v>
      </c>
      <c r="AG53" s="64" t="s">
        <v>209</v>
      </c>
      <c r="AH53" s="65" t="s">
        <v>348</v>
      </c>
      <c r="AI53" s="63" t="s">
        <v>347</v>
      </c>
      <c r="AJ53" s="64" t="s">
        <v>209</v>
      </c>
      <c r="AK53" s="65" t="s">
        <v>348</v>
      </c>
      <c r="AL53" s="155" t="s">
        <v>205</v>
      </c>
      <c r="AM53" s="156" t="s">
        <v>209</v>
      </c>
      <c r="AN53" s="157" t="s">
        <v>206</v>
      </c>
    </row>
    <row r="54" spans="1:46" ht="18" customHeight="1">
      <c r="A54" s="73" t="str">
        <f>IF($C$9="Data Not Entered On Set-Up Worksheet","",IF(OR(VLOOKUP($C$9,County_Lookup,2,FALSE)="",VLOOKUP($C$9,County_Lookup,2,FALSE)=0),"",VLOOKUP($C$9,County_Lookup,2,FALSE)))</f>
        <v/>
      </c>
      <c r="B54" s="66"/>
      <c r="C54" s="59" t="str">
        <f t="shared" ref="C54:C80" si="64">IF(OR($A54="",$A54="Other"),"",IF(OR(AND($C$3=2021,$C$4&lt;&gt;"1st Quarter"),AND($C$3=2022,$C$4="1st Quarter")),VLOOKUP($A54,Uninsured_SFY2021,15,FALSE),IF(OR(AND($C$3=2020,$C$4&lt;&gt;"1st Quarter"),AND($C$3=2021,$C$4="1st Quarter")),VLOOKUP($A54,Uninsured_SFY2020,15,FALSE),"Update Lookup")))</f>
        <v/>
      </c>
      <c r="D54" s="67" t="str">
        <f>IF(OR($A54="",$A54="Other"),"",IF(C54=0,0,B54/C54))</f>
        <v/>
      </c>
      <c r="E54" s="66"/>
      <c r="F54" s="59" t="str">
        <f t="shared" ref="F54:F80" si="65">IF(OR($A54="",$A54="Other"),"",IF(OR(AND($C$3=2021,$C$4&lt;&gt;"1st Quarter"),AND($C$3=2022,$C$4="1st Quarter")),VLOOKUP($A54,Uninsured_SFY2021,16,FALSE),IF(OR(AND($C$3=2020,$C$4&lt;&gt;"1st Quarter"),AND($C$3=2021,$C$4="1st Quarter")),VLOOKUP($A54,Uninsured_SFY2020,16,FALSE),"Update Lookup")))</f>
        <v/>
      </c>
      <c r="G54" s="67" t="str">
        <f>IF(OR($A54="",$A54="Other"),"",IF(F54=0,0,E54/F54))</f>
        <v/>
      </c>
      <c r="H54" s="66"/>
      <c r="I54" s="59" t="str">
        <f t="shared" ref="I54:I80" si="66">IF(OR($A54="",$A54="Other"),"",IF(OR(AND($C$3=2021,$C$4&lt;&gt;"1st Quarter"),AND($C$3=2022,$C$4="1st Quarter")),VLOOKUP($A54,Uninsured_SFY2021,17,FALSE),IF(OR(AND($C$3=2020,$C$4&lt;&gt;"1st Quarter"),AND($C$3=2021,$C$4="1st Quarter")),VLOOKUP($A54,Uninsured_SFY2020,17,FALSE),"Update Lookup")))</f>
        <v/>
      </c>
      <c r="J54" s="67" t="str">
        <f>IF(OR($A54="",$A54="Other"),"",IF(I54=0,0,H54/I54))</f>
        <v/>
      </c>
      <c r="K54" s="71" t="str">
        <f>IF($A54="","",SUM(E54,H54))</f>
        <v/>
      </c>
      <c r="L54" s="59" t="str">
        <f>IF(OR($A54="",$A54="Other"),"",SUM(F54,I54))</f>
        <v/>
      </c>
      <c r="M54" s="67" t="str">
        <f t="shared" ref="M54:M80" si="67">IF(OR($A54="",$A54="Other"),"",IF(L54=0,0,K54/L54))</f>
        <v/>
      </c>
      <c r="N54" s="66"/>
      <c r="O54" s="59" t="str">
        <f t="shared" ref="O54:O80" si="68">IF(OR($A54="",$A54="Other"),"",IF(OR(AND($C$3=2021,$C$4&lt;&gt;"1st Quarter"),AND($C$3=2022,$C$4="1st Quarter")),VLOOKUP($A54,Uninsured_SFY2021,15,FALSE),IF(OR(AND($C$3=2020,$C$4&lt;&gt;"1st Quarter"),AND($C$3=2021,$C$4="1st Quarter")),VLOOKUP($A54,Uninsured_SFY2020,15,FALSE),"Update Lookup")))</f>
        <v/>
      </c>
      <c r="P54" s="67" t="str">
        <f t="shared" ref="P54:P80" si="69">IF(OR($A54="",$A54="Other"),"",IF(O54=0,0,N54/O54))</f>
        <v/>
      </c>
      <c r="Q54" s="66"/>
      <c r="R54" s="59" t="str">
        <f t="shared" ref="R54:R80" si="70">IF(OR($A54="",$A54="Other"),"",IF(OR(AND($C$3=2021,$C$4&lt;&gt;"1st Quarter"),AND($C$3=2022,$C$4="1st Quarter")),VLOOKUP($A54,Uninsured_SFY2021,16,FALSE),IF(OR(AND($C$3=2020,$C$4&lt;&gt;"1st Quarter"),AND($C$3=2021,$C$4="1st Quarter")),VLOOKUP($A54,Uninsured_SFY2020,16,FALSE),"Update Lookup")))</f>
        <v/>
      </c>
      <c r="S54" s="67" t="str">
        <f t="shared" ref="S54:S80" si="71">IF(OR($A54="",$A54="Other"),"",IF(R54=0,0,Q54/R54))</f>
        <v/>
      </c>
      <c r="T54" s="66"/>
      <c r="U54" s="59" t="str">
        <f t="shared" ref="U54:U80" si="72">IF(OR($A54="",$A54="Other"),"",IF(OR(AND($C$3=2021,$C$4&lt;&gt;"1st Quarter"),AND($C$3=2022,$C$4="1st Quarter")),VLOOKUP($A54,Uninsured_SFY2021,17,FALSE),IF(OR(AND($C$3=2020,$C$4&lt;&gt;"1st Quarter"),AND($C$3=2021,$C$4="1st Quarter")),VLOOKUP($A54,Uninsured_SFY2020,17,FALSE),"Update Lookup")))</f>
        <v/>
      </c>
      <c r="V54" s="67" t="str">
        <f t="shared" ref="V54:V80" si="73">IF(OR($A54="",$A54="Other"),"",IF(U54=0,0,T54/U54))</f>
        <v/>
      </c>
      <c r="W54" s="71" t="str">
        <f>IF($A54="","",SUM(Q54,T54))</f>
        <v/>
      </c>
      <c r="X54" s="59" t="str">
        <f>IF(OR($A54="",$A54="Other"),"",SUM(R54,U54))</f>
        <v/>
      </c>
      <c r="Y54" s="67" t="str">
        <f t="shared" ref="Y54:Y80" si="74">IF(OR($A54="",$A54="Other"),"",IF(X54=0,0,W54/X54))</f>
        <v/>
      </c>
      <c r="Z54" s="66"/>
      <c r="AA54" s="59" t="str">
        <f t="shared" ref="AA54:AA80" si="75">IF(OR($A54="",$A54="Other"),"",IF(OR(AND($C$3=2021,$C$4&lt;&gt;"1st Quarter"),AND($C$3=2022,$C$4="1st Quarter")),VLOOKUP($A54,Uninsured_SFY2021,15,FALSE),IF(OR(AND($C$3=2020,$C$4&lt;&gt;"1st Quarter"),AND($C$3=2021,$C$4="1st Quarter")),VLOOKUP($A54,Uninsured_SFY2020,15,FALSE),"Update Lookup")))</f>
        <v/>
      </c>
      <c r="AB54" s="67" t="str">
        <f t="shared" ref="AB54:AB80" si="76">IF(OR($A54="",$A54="Other"),"",IF(AA54=0,0,Z54/AA54))</f>
        <v/>
      </c>
      <c r="AC54" s="66"/>
      <c r="AD54" s="59" t="str">
        <f t="shared" ref="AD54:AD80" si="77">IF(OR($A54="",$A54="Other"),"",IF(OR(AND($C$3=2021,$C$4&lt;&gt;"1st Quarter"),AND($C$3=2022,$C$4="1st Quarter")),VLOOKUP($A54,Uninsured_SFY2021,16,FALSE),IF(OR(AND($C$3=2020,$C$4&lt;&gt;"1st Quarter"),AND($C$3=2021,$C$4="1st Quarter")),VLOOKUP($A54,Uninsured_SFY2020,16,FALSE),"Update Lookup")))</f>
        <v/>
      </c>
      <c r="AE54" s="67" t="str">
        <f t="shared" ref="AE54:AE80" si="78">IF(OR($A54="",$A54="Other"),"",IF(AD54=0,0,AC54/AD54))</f>
        <v/>
      </c>
      <c r="AF54" s="66"/>
      <c r="AG54" s="59" t="str">
        <f t="shared" ref="AG54:AG80" si="79">IF(OR($A54="",$A54="Other"),"",IF(OR(AND($C$3=2021,$C$4&lt;&gt;"1st Quarter"),AND($C$3=2022,$C$4="1st Quarter")),VLOOKUP($A54,Uninsured_SFY2021,17,FALSE),IF(OR(AND($C$3=2020,$C$4&lt;&gt;"1st Quarter"),AND($C$3=2021,$C$4="1st Quarter")),VLOOKUP($A54,Uninsured_SFY2020,17,FALSE),"Update Lookup")))</f>
        <v/>
      </c>
      <c r="AH54" s="67" t="str">
        <f t="shared" ref="AH54:AH80" si="80">IF(OR($A54="",$A54="Other"),"",IF(AG54=0,0,AF54/AG54))</f>
        <v/>
      </c>
      <c r="AI54" s="71" t="str">
        <f>IF($A54="","",SUM(AC54,AF54))</f>
        <v/>
      </c>
      <c r="AJ54" s="59" t="str">
        <f t="shared" ref="AJ54:AJ80" si="81">IF(OR($A54="",$A54="Other"),"",SUM(AD54,AG54))</f>
        <v/>
      </c>
      <c r="AK54" s="67" t="str">
        <f t="shared" ref="AK54:AK80" si="82">IF(OR($A54="",$A54="Other"),"",IF(AJ54=0,0,AI54/AJ54))</f>
        <v/>
      </c>
      <c r="AL54" s="66"/>
      <c r="AM54" s="59" t="str">
        <f t="shared" ref="AM54:AM80" si="83">IF(OR($A54="",$A54="Other"),"",IF(OR(AND($C$3=2021,$C$4&lt;&gt;"1st Quarter"),AND($C$3=2022,$C$4="1st Quarter")),VLOOKUP($A54,Uninsured_SFY2021,19,FALSE),IF(OR(AND($C$3=2020,$C$4&lt;&gt;"1st Quarter"),AND($C$3=2021,$C$4="1st Quarter")),VLOOKUP($A54,Uninsured_SFY2020,19,FALSE),"Update Lookup")))</f>
        <v/>
      </c>
      <c r="AN54" s="67" t="str">
        <f t="shared" ref="AN54:AN80" si="84">IF(OR($A54="",$A54="Other"),"",IF(AM54=0,0,AL54/AM54))</f>
        <v/>
      </c>
    </row>
    <row r="55" spans="1:46" ht="18" customHeight="1">
      <c r="A55" s="74" t="str">
        <f>IF($C$9="Data Not Entered On Set-Up Worksheet","",IF(OR(VLOOKUP($C$9,County_Lookup,3,FALSE)="",VLOOKUP($C$9,County_Lookup,3,FALSE)=0),"",VLOOKUP($C$9,County_Lookup,3,FALSE)))</f>
        <v/>
      </c>
      <c r="B55" s="66"/>
      <c r="C55" s="59" t="str">
        <f t="shared" si="64"/>
        <v/>
      </c>
      <c r="D55" s="67" t="str">
        <f t="shared" ref="D55:D80" si="85">IF(OR($A55="",$A55="Other"),"",IF(C55=0,0,B55/C55))</f>
        <v/>
      </c>
      <c r="E55" s="66"/>
      <c r="F55" s="59" t="str">
        <f t="shared" si="65"/>
        <v/>
      </c>
      <c r="G55" s="67" t="str">
        <f t="shared" ref="G55:G80" si="86">IF(OR($A55="",$A55="Other"),"",IF(F55=0,0,E55/F55))</f>
        <v/>
      </c>
      <c r="H55" s="66"/>
      <c r="I55" s="59" t="str">
        <f t="shared" si="66"/>
        <v/>
      </c>
      <c r="J55" s="67" t="str">
        <f t="shared" ref="J55:J80" si="87">IF(OR($A55="",$A55="Other"),"",IF(I55=0,0,H55/I55))</f>
        <v/>
      </c>
      <c r="K55" s="71" t="str">
        <f t="shared" ref="K55:K80" si="88">IF($A55="","",SUM(E55,H55))</f>
        <v/>
      </c>
      <c r="L55" s="59" t="str">
        <f t="shared" ref="L55:L80" si="89">IF(OR($A55="",$A55="Other"),"",SUM(F55,I55))</f>
        <v/>
      </c>
      <c r="M55" s="67" t="str">
        <f t="shared" si="67"/>
        <v/>
      </c>
      <c r="N55" s="66"/>
      <c r="O55" s="59" t="str">
        <f t="shared" si="68"/>
        <v/>
      </c>
      <c r="P55" s="67" t="str">
        <f t="shared" si="69"/>
        <v/>
      </c>
      <c r="Q55" s="66"/>
      <c r="R55" s="59" t="str">
        <f t="shared" si="70"/>
        <v/>
      </c>
      <c r="S55" s="67" t="str">
        <f t="shared" si="71"/>
        <v/>
      </c>
      <c r="T55" s="66"/>
      <c r="U55" s="59" t="str">
        <f t="shared" si="72"/>
        <v/>
      </c>
      <c r="V55" s="67" t="str">
        <f t="shared" si="73"/>
        <v/>
      </c>
      <c r="W55" s="71" t="str">
        <f t="shared" ref="W55:W80" si="90">IF($A55="","",SUM(Q55,T55))</f>
        <v/>
      </c>
      <c r="X55" s="59" t="str">
        <f t="shared" ref="X55:X80" si="91">IF(OR($A55="",$A55="Other"),"",SUM(R55,U55))</f>
        <v/>
      </c>
      <c r="Y55" s="67" t="str">
        <f t="shared" si="74"/>
        <v/>
      </c>
      <c r="Z55" s="66"/>
      <c r="AA55" s="59" t="str">
        <f t="shared" si="75"/>
        <v/>
      </c>
      <c r="AB55" s="67" t="str">
        <f t="shared" si="76"/>
        <v/>
      </c>
      <c r="AC55" s="66"/>
      <c r="AD55" s="59" t="str">
        <f t="shared" si="77"/>
        <v/>
      </c>
      <c r="AE55" s="67" t="str">
        <f t="shared" si="78"/>
        <v/>
      </c>
      <c r="AF55" s="66"/>
      <c r="AG55" s="59" t="str">
        <f t="shared" si="79"/>
        <v/>
      </c>
      <c r="AH55" s="67" t="str">
        <f t="shared" si="80"/>
        <v/>
      </c>
      <c r="AI55" s="71" t="str">
        <f t="shared" ref="AI55:AI80" si="92">IF($A55="","",SUM(AC55,AF55))</f>
        <v/>
      </c>
      <c r="AJ55" s="59" t="str">
        <f t="shared" si="81"/>
        <v/>
      </c>
      <c r="AK55" s="67" t="str">
        <f t="shared" si="82"/>
        <v/>
      </c>
      <c r="AL55" s="66"/>
      <c r="AM55" s="59" t="str">
        <f t="shared" si="83"/>
        <v/>
      </c>
      <c r="AN55" s="67" t="str">
        <f t="shared" si="84"/>
        <v/>
      </c>
    </row>
    <row r="56" spans="1:46" ht="18" customHeight="1">
      <c r="A56" s="74" t="str">
        <f>IF($C$9="Data Not Entered On Set-Up Worksheet","",IF(OR(VLOOKUP($C$9,County_Lookup,4,FALSE)="",VLOOKUP($C$9,County_Lookup,4,FALSE)=0),"",VLOOKUP($C$9,County_Lookup,4,FALSE)))</f>
        <v/>
      </c>
      <c r="B56" s="66"/>
      <c r="C56" s="59" t="str">
        <f t="shared" si="64"/>
        <v/>
      </c>
      <c r="D56" s="67" t="str">
        <f t="shared" si="85"/>
        <v/>
      </c>
      <c r="E56" s="66"/>
      <c r="F56" s="59" t="str">
        <f t="shared" si="65"/>
        <v/>
      </c>
      <c r="G56" s="67" t="str">
        <f t="shared" si="86"/>
        <v/>
      </c>
      <c r="H56" s="66"/>
      <c r="I56" s="59" t="str">
        <f t="shared" si="66"/>
        <v/>
      </c>
      <c r="J56" s="67" t="str">
        <f t="shared" si="87"/>
        <v/>
      </c>
      <c r="K56" s="71" t="str">
        <f t="shared" si="88"/>
        <v/>
      </c>
      <c r="L56" s="59" t="str">
        <f t="shared" si="89"/>
        <v/>
      </c>
      <c r="M56" s="67" t="str">
        <f t="shared" si="67"/>
        <v/>
      </c>
      <c r="N56" s="66"/>
      <c r="O56" s="59" t="str">
        <f t="shared" si="68"/>
        <v/>
      </c>
      <c r="P56" s="67" t="str">
        <f t="shared" si="69"/>
        <v/>
      </c>
      <c r="Q56" s="66"/>
      <c r="R56" s="59" t="str">
        <f t="shared" si="70"/>
        <v/>
      </c>
      <c r="S56" s="67" t="str">
        <f t="shared" si="71"/>
        <v/>
      </c>
      <c r="T56" s="66"/>
      <c r="U56" s="59" t="str">
        <f t="shared" si="72"/>
        <v/>
      </c>
      <c r="V56" s="67" t="str">
        <f t="shared" si="73"/>
        <v/>
      </c>
      <c r="W56" s="71" t="str">
        <f t="shared" si="90"/>
        <v/>
      </c>
      <c r="X56" s="59" t="str">
        <f t="shared" si="91"/>
        <v/>
      </c>
      <c r="Y56" s="67" t="str">
        <f t="shared" si="74"/>
        <v/>
      </c>
      <c r="Z56" s="66"/>
      <c r="AA56" s="59" t="str">
        <f t="shared" si="75"/>
        <v/>
      </c>
      <c r="AB56" s="67" t="str">
        <f t="shared" si="76"/>
        <v/>
      </c>
      <c r="AC56" s="66"/>
      <c r="AD56" s="59" t="str">
        <f t="shared" si="77"/>
        <v/>
      </c>
      <c r="AE56" s="67" t="str">
        <f t="shared" si="78"/>
        <v/>
      </c>
      <c r="AF56" s="66"/>
      <c r="AG56" s="59" t="str">
        <f t="shared" si="79"/>
        <v/>
      </c>
      <c r="AH56" s="67" t="str">
        <f t="shared" si="80"/>
        <v/>
      </c>
      <c r="AI56" s="71" t="str">
        <f t="shared" si="92"/>
        <v/>
      </c>
      <c r="AJ56" s="59" t="str">
        <f t="shared" si="81"/>
        <v/>
      </c>
      <c r="AK56" s="67" t="str">
        <f t="shared" si="82"/>
        <v/>
      </c>
      <c r="AL56" s="66"/>
      <c r="AM56" s="59" t="str">
        <f t="shared" si="83"/>
        <v/>
      </c>
      <c r="AN56" s="67" t="str">
        <f t="shared" si="84"/>
        <v/>
      </c>
    </row>
    <row r="57" spans="1:46" ht="18" customHeight="1">
      <c r="A57" s="74" t="str">
        <f>IF($C$9="Data Not Entered On Set-Up Worksheet","",IF(OR(VLOOKUP($C$9,County_Lookup,5,FALSE)="",VLOOKUP($C$9,County_Lookup,5,FALSE)=0),"",VLOOKUP($C$9,County_Lookup,5,FALSE)))</f>
        <v/>
      </c>
      <c r="B57" s="66"/>
      <c r="C57" s="59" t="str">
        <f t="shared" si="64"/>
        <v/>
      </c>
      <c r="D57" s="67" t="str">
        <f t="shared" si="85"/>
        <v/>
      </c>
      <c r="E57" s="66"/>
      <c r="F57" s="59" t="str">
        <f t="shared" si="65"/>
        <v/>
      </c>
      <c r="G57" s="67" t="str">
        <f t="shared" si="86"/>
        <v/>
      </c>
      <c r="H57" s="66"/>
      <c r="I57" s="59" t="str">
        <f t="shared" si="66"/>
        <v/>
      </c>
      <c r="J57" s="67" t="str">
        <f t="shared" si="87"/>
        <v/>
      </c>
      <c r="K57" s="71" t="str">
        <f t="shared" si="88"/>
        <v/>
      </c>
      <c r="L57" s="59" t="str">
        <f t="shared" si="89"/>
        <v/>
      </c>
      <c r="M57" s="67" t="str">
        <f t="shared" si="67"/>
        <v/>
      </c>
      <c r="N57" s="66"/>
      <c r="O57" s="59" t="str">
        <f t="shared" si="68"/>
        <v/>
      </c>
      <c r="P57" s="67" t="str">
        <f t="shared" si="69"/>
        <v/>
      </c>
      <c r="Q57" s="66"/>
      <c r="R57" s="59" t="str">
        <f t="shared" si="70"/>
        <v/>
      </c>
      <c r="S57" s="67" t="str">
        <f t="shared" si="71"/>
        <v/>
      </c>
      <c r="T57" s="66"/>
      <c r="U57" s="59" t="str">
        <f t="shared" si="72"/>
        <v/>
      </c>
      <c r="V57" s="67" t="str">
        <f t="shared" si="73"/>
        <v/>
      </c>
      <c r="W57" s="71" t="str">
        <f t="shared" si="90"/>
        <v/>
      </c>
      <c r="X57" s="59" t="str">
        <f t="shared" si="91"/>
        <v/>
      </c>
      <c r="Y57" s="67" t="str">
        <f t="shared" si="74"/>
        <v/>
      </c>
      <c r="Z57" s="66"/>
      <c r="AA57" s="59" t="str">
        <f t="shared" si="75"/>
        <v/>
      </c>
      <c r="AB57" s="67" t="str">
        <f t="shared" si="76"/>
        <v/>
      </c>
      <c r="AC57" s="66"/>
      <c r="AD57" s="59" t="str">
        <f t="shared" si="77"/>
        <v/>
      </c>
      <c r="AE57" s="67" t="str">
        <f t="shared" si="78"/>
        <v/>
      </c>
      <c r="AF57" s="66"/>
      <c r="AG57" s="59" t="str">
        <f t="shared" si="79"/>
        <v/>
      </c>
      <c r="AH57" s="67" t="str">
        <f t="shared" si="80"/>
        <v/>
      </c>
      <c r="AI57" s="71" t="str">
        <f t="shared" si="92"/>
        <v/>
      </c>
      <c r="AJ57" s="59" t="str">
        <f t="shared" si="81"/>
        <v/>
      </c>
      <c r="AK57" s="67" t="str">
        <f t="shared" si="82"/>
        <v/>
      </c>
      <c r="AL57" s="66"/>
      <c r="AM57" s="59" t="str">
        <f t="shared" si="83"/>
        <v/>
      </c>
      <c r="AN57" s="67" t="str">
        <f t="shared" si="84"/>
        <v/>
      </c>
    </row>
    <row r="58" spans="1:46" ht="18" customHeight="1">
      <c r="A58" s="74" t="str">
        <f>IF($C$9="Data Not Entered On Set-Up Worksheet","",IF(OR(VLOOKUP($C$9,County_Lookup,6,FALSE)="",VLOOKUP($C$9,County_Lookup,6,FALSE)=0),"",VLOOKUP($C$9,County_Lookup,6,FALSE)))</f>
        <v/>
      </c>
      <c r="B58" s="66"/>
      <c r="C58" s="59" t="str">
        <f t="shared" si="64"/>
        <v/>
      </c>
      <c r="D58" s="67" t="str">
        <f t="shared" si="85"/>
        <v/>
      </c>
      <c r="E58" s="66"/>
      <c r="F58" s="59" t="str">
        <f t="shared" si="65"/>
        <v/>
      </c>
      <c r="G58" s="67" t="str">
        <f t="shared" si="86"/>
        <v/>
      </c>
      <c r="H58" s="66"/>
      <c r="I58" s="59" t="str">
        <f t="shared" si="66"/>
        <v/>
      </c>
      <c r="J58" s="67" t="str">
        <f t="shared" si="87"/>
        <v/>
      </c>
      <c r="K58" s="71" t="str">
        <f t="shared" si="88"/>
        <v/>
      </c>
      <c r="L58" s="59" t="str">
        <f t="shared" si="89"/>
        <v/>
      </c>
      <c r="M58" s="67" t="str">
        <f t="shared" si="67"/>
        <v/>
      </c>
      <c r="N58" s="66"/>
      <c r="O58" s="59" t="str">
        <f t="shared" si="68"/>
        <v/>
      </c>
      <c r="P58" s="67" t="str">
        <f t="shared" si="69"/>
        <v/>
      </c>
      <c r="Q58" s="66"/>
      <c r="R58" s="59" t="str">
        <f t="shared" si="70"/>
        <v/>
      </c>
      <c r="S58" s="67" t="str">
        <f t="shared" si="71"/>
        <v/>
      </c>
      <c r="T58" s="66"/>
      <c r="U58" s="59" t="str">
        <f t="shared" si="72"/>
        <v/>
      </c>
      <c r="V58" s="67" t="str">
        <f t="shared" si="73"/>
        <v/>
      </c>
      <c r="W58" s="71" t="str">
        <f t="shared" si="90"/>
        <v/>
      </c>
      <c r="X58" s="59" t="str">
        <f t="shared" si="91"/>
        <v/>
      </c>
      <c r="Y58" s="67" t="str">
        <f t="shared" si="74"/>
        <v/>
      </c>
      <c r="Z58" s="66"/>
      <c r="AA58" s="59" t="str">
        <f t="shared" si="75"/>
        <v/>
      </c>
      <c r="AB58" s="67" t="str">
        <f t="shared" si="76"/>
        <v/>
      </c>
      <c r="AC58" s="66"/>
      <c r="AD58" s="59" t="str">
        <f t="shared" si="77"/>
        <v/>
      </c>
      <c r="AE58" s="67" t="str">
        <f t="shared" si="78"/>
        <v/>
      </c>
      <c r="AF58" s="66"/>
      <c r="AG58" s="59" t="str">
        <f t="shared" si="79"/>
        <v/>
      </c>
      <c r="AH58" s="67" t="str">
        <f t="shared" si="80"/>
        <v/>
      </c>
      <c r="AI58" s="71" t="str">
        <f t="shared" si="92"/>
        <v/>
      </c>
      <c r="AJ58" s="59" t="str">
        <f t="shared" si="81"/>
        <v/>
      </c>
      <c r="AK58" s="67" t="str">
        <f t="shared" si="82"/>
        <v/>
      </c>
      <c r="AL58" s="66"/>
      <c r="AM58" s="59" t="str">
        <f t="shared" si="83"/>
        <v/>
      </c>
      <c r="AN58" s="67" t="str">
        <f t="shared" si="84"/>
        <v/>
      </c>
    </row>
    <row r="59" spans="1:46" ht="18" customHeight="1">
      <c r="A59" s="74" t="str">
        <f>IF($C$9="Data Not Entered On Set-Up Worksheet","",IF(OR(VLOOKUP($C$9,County_Lookup,7,FALSE)="",VLOOKUP($C$9,County_Lookup,7,FALSE)=0),"",VLOOKUP($C$9,County_Lookup,7,FALSE)))</f>
        <v/>
      </c>
      <c r="B59" s="66"/>
      <c r="C59" s="59" t="str">
        <f t="shared" si="64"/>
        <v/>
      </c>
      <c r="D59" s="67" t="str">
        <f t="shared" si="85"/>
        <v/>
      </c>
      <c r="E59" s="66"/>
      <c r="F59" s="59" t="str">
        <f t="shared" si="65"/>
        <v/>
      </c>
      <c r="G59" s="67" t="str">
        <f t="shared" si="86"/>
        <v/>
      </c>
      <c r="H59" s="66"/>
      <c r="I59" s="59" t="str">
        <f t="shared" si="66"/>
        <v/>
      </c>
      <c r="J59" s="67" t="str">
        <f t="shared" si="87"/>
        <v/>
      </c>
      <c r="K59" s="71" t="str">
        <f t="shared" si="88"/>
        <v/>
      </c>
      <c r="L59" s="59" t="str">
        <f t="shared" si="89"/>
        <v/>
      </c>
      <c r="M59" s="67" t="str">
        <f t="shared" si="67"/>
        <v/>
      </c>
      <c r="N59" s="66"/>
      <c r="O59" s="59" t="str">
        <f t="shared" si="68"/>
        <v/>
      </c>
      <c r="P59" s="67" t="str">
        <f t="shared" si="69"/>
        <v/>
      </c>
      <c r="Q59" s="66"/>
      <c r="R59" s="59" t="str">
        <f t="shared" si="70"/>
        <v/>
      </c>
      <c r="S59" s="67" t="str">
        <f t="shared" si="71"/>
        <v/>
      </c>
      <c r="T59" s="66"/>
      <c r="U59" s="59" t="str">
        <f t="shared" si="72"/>
        <v/>
      </c>
      <c r="V59" s="67" t="str">
        <f t="shared" si="73"/>
        <v/>
      </c>
      <c r="W59" s="71" t="str">
        <f t="shared" si="90"/>
        <v/>
      </c>
      <c r="X59" s="59" t="str">
        <f t="shared" si="91"/>
        <v/>
      </c>
      <c r="Y59" s="67" t="str">
        <f t="shared" si="74"/>
        <v/>
      </c>
      <c r="Z59" s="66"/>
      <c r="AA59" s="59" t="str">
        <f t="shared" si="75"/>
        <v/>
      </c>
      <c r="AB59" s="67" t="str">
        <f t="shared" si="76"/>
        <v/>
      </c>
      <c r="AC59" s="66"/>
      <c r="AD59" s="59" t="str">
        <f t="shared" si="77"/>
        <v/>
      </c>
      <c r="AE59" s="67" t="str">
        <f t="shared" si="78"/>
        <v/>
      </c>
      <c r="AF59" s="66"/>
      <c r="AG59" s="59" t="str">
        <f t="shared" si="79"/>
        <v/>
      </c>
      <c r="AH59" s="67" t="str">
        <f t="shared" si="80"/>
        <v/>
      </c>
      <c r="AI59" s="71" t="str">
        <f t="shared" si="92"/>
        <v/>
      </c>
      <c r="AJ59" s="59" t="str">
        <f t="shared" si="81"/>
        <v/>
      </c>
      <c r="AK59" s="67" t="str">
        <f t="shared" si="82"/>
        <v/>
      </c>
      <c r="AL59" s="66"/>
      <c r="AM59" s="59" t="str">
        <f t="shared" si="83"/>
        <v/>
      </c>
      <c r="AN59" s="67" t="str">
        <f t="shared" si="84"/>
        <v/>
      </c>
    </row>
    <row r="60" spans="1:46" ht="18" customHeight="1">
      <c r="A60" s="73" t="str">
        <f>IF($C$9="Data Not Entered On Set-Up Worksheet","",IF(OR(VLOOKUP($C$9,County_Lookup,8,FALSE)="",VLOOKUP($C$9,County_Lookup,8,FALSE)=0),"",VLOOKUP($C$9,County_Lookup,8,FALSE)))</f>
        <v/>
      </c>
      <c r="B60" s="66"/>
      <c r="C60" s="59" t="str">
        <f t="shared" si="64"/>
        <v/>
      </c>
      <c r="D60" s="67" t="str">
        <f t="shared" si="85"/>
        <v/>
      </c>
      <c r="E60" s="66"/>
      <c r="F60" s="59" t="str">
        <f t="shared" si="65"/>
        <v/>
      </c>
      <c r="G60" s="67" t="str">
        <f t="shared" si="86"/>
        <v/>
      </c>
      <c r="H60" s="66"/>
      <c r="I60" s="59" t="str">
        <f t="shared" si="66"/>
        <v/>
      </c>
      <c r="J60" s="67" t="str">
        <f t="shared" si="87"/>
        <v/>
      </c>
      <c r="K60" s="71" t="str">
        <f t="shared" si="88"/>
        <v/>
      </c>
      <c r="L60" s="59" t="str">
        <f t="shared" si="89"/>
        <v/>
      </c>
      <c r="M60" s="67" t="str">
        <f t="shared" si="67"/>
        <v/>
      </c>
      <c r="N60" s="66"/>
      <c r="O60" s="59" t="str">
        <f t="shared" si="68"/>
        <v/>
      </c>
      <c r="P60" s="67" t="str">
        <f t="shared" si="69"/>
        <v/>
      </c>
      <c r="Q60" s="66"/>
      <c r="R60" s="59" t="str">
        <f t="shared" si="70"/>
        <v/>
      </c>
      <c r="S60" s="67" t="str">
        <f t="shared" si="71"/>
        <v/>
      </c>
      <c r="T60" s="66"/>
      <c r="U60" s="59" t="str">
        <f t="shared" si="72"/>
        <v/>
      </c>
      <c r="V60" s="67" t="str">
        <f t="shared" si="73"/>
        <v/>
      </c>
      <c r="W60" s="71" t="str">
        <f t="shared" si="90"/>
        <v/>
      </c>
      <c r="X60" s="59" t="str">
        <f t="shared" si="91"/>
        <v/>
      </c>
      <c r="Y60" s="67" t="str">
        <f t="shared" si="74"/>
        <v/>
      </c>
      <c r="Z60" s="66"/>
      <c r="AA60" s="59" t="str">
        <f t="shared" si="75"/>
        <v/>
      </c>
      <c r="AB60" s="67" t="str">
        <f t="shared" si="76"/>
        <v/>
      </c>
      <c r="AC60" s="66"/>
      <c r="AD60" s="59" t="str">
        <f t="shared" si="77"/>
        <v/>
      </c>
      <c r="AE60" s="67" t="str">
        <f t="shared" si="78"/>
        <v/>
      </c>
      <c r="AF60" s="66"/>
      <c r="AG60" s="59" t="str">
        <f t="shared" si="79"/>
        <v/>
      </c>
      <c r="AH60" s="67" t="str">
        <f t="shared" si="80"/>
        <v/>
      </c>
      <c r="AI60" s="71" t="str">
        <f t="shared" si="92"/>
        <v/>
      </c>
      <c r="AJ60" s="59" t="str">
        <f t="shared" si="81"/>
        <v/>
      </c>
      <c r="AK60" s="67" t="str">
        <f t="shared" si="82"/>
        <v/>
      </c>
      <c r="AL60" s="66"/>
      <c r="AM60" s="59" t="str">
        <f t="shared" si="83"/>
        <v/>
      </c>
      <c r="AN60" s="67" t="str">
        <f t="shared" si="84"/>
        <v/>
      </c>
    </row>
    <row r="61" spans="1:46" ht="18" customHeight="1">
      <c r="A61" s="74" t="str">
        <f>IF($C$9="Data Not Entered On Set-Up Worksheet","",IF(OR(VLOOKUP($C$9,County_Lookup,9,FALSE)="",VLOOKUP($C$9,County_Lookup,9,FALSE)=0),"",VLOOKUP($C$9,County_Lookup,9,FALSE)))</f>
        <v/>
      </c>
      <c r="B61" s="66"/>
      <c r="C61" s="59" t="str">
        <f t="shared" si="64"/>
        <v/>
      </c>
      <c r="D61" s="67" t="str">
        <f t="shared" si="85"/>
        <v/>
      </c>
      <c r="E61" s="66"/>
      <c r="F61" s="59" t="str">
        <f t="shared" si="65"/>
        <v/>
      </c>
      <c r="G61" s="67" t="str">
        <f t="shared" si="86"/>
        <v/>
      </c>
      <c r="H61" s="66"/>
      <c r="I61" s="59" t="str">
        <f t="shared" si="66"/>
        <v/>
      </c>
      <c r="J61" s="67" t="str">
        <f t="shared" si="87"/>
        <v/>
      </c>
      <c r="K61" s="71" t="str">
        <f t="shared" si="88"/>
        <v/>
      </c>
      <c r="L61" s="59" t="str">
        <f t="shared" si="89"/>
        <v/>
      </c>
      <c r="M61" s="67" t="str">
        <f t="shared" si="67"/>
        <v/>
      </c>
      <c r="N61" s="66"/>
      <c r="O61" s="59" t="str">
        <f t="shared" si="68"/>
        <v/>
      </c>
      <c r="P61" s="67" t="str">
        <f t="shared" si="69"/>
        <v/>
      </c>
      <c r="Q61" s="66"/>
      <c r="R61" s="59" t="str">
        <f t="shared" si="70"/>
        <v/>
      </c>
      <c r="S61" s="67" t="str">
        <f t="shared" si="71"/>
        <v/>
      </c>
      <c r="T61" s="66"/>
      <c r="U61" s="59" t="str">
        <f t="shared" si="72"/>
        <v/>
      </c>
      <c r="V61" s="67" t="str">
        <f t="shared" si="73"/>
        <v/>
      </c>
      <c r="W61" s="71" t="str">
        <f t="shared" si="90"/>
        <v/>
      </c>
      <c r="X61" s="59" t="str">
        <f t="shared" si="91"/>
        <v/>
      </c>
      <c r="Y61" s="67" t="str">
        <f t="shared" si="74"/>
        <v/>
      </c>
      <c r="Z61" s="66"/>
      <c r="AA61" s="59" t="str">
        <f t="shared" si="75"/>
        <v/>
      </c>
      <c r="AB61" s="67" t="str">
        <f t="shared" si="76"/>
        <v/>
      </c>
      <c r="AC61" s="66"/>
      <c r="AD61" s="59" t="str">
        <f t="shared" si="77"/>
        <v/>
      </c>
      <c r="AE61" s="67" t="str">
        <f t="shared" si="78"/>
        <v/>
      </c>
      <c r="AF61" s="66"/>
      <c r="AG61" s="59" t="str">
        <f t="shared" si="79"/>
        <v/>
      </c>
      <c r="AH61" s="67" t="str">
        <f t="shared" si="80"/>
        <v/>
      </c>
      <c r="AI61" s="71" t="str">
        <f t="shared" si="92"/>
        <v/>
      </c>
      <c r="AJ61" s="59" t="str">
        <f t="shared" si="81"/>
        <v/>
      </c>
      <c r="AK61" s="67" t="str">
        <f t="shared" si="82"/>
        <v/>
      </c>
      <c r="AL61" s="66"/>
      <c r="AM61" s="59" t="str">
        <f t="shared" si="83"/>
        <v/>
      </c>
      <c r="AN61" s="67" t="str">
        <f t="shared" si="84"/>
        <v/>
      </c>
    </row>
    <row r="62" spans="1:46" ht="18" customHeight="1">
      <c r="A62" s="74" t="str">
        <f>IF($C$9="Data Not Entered On Set-Up Worksheet","",IF(OR(VLOOKUP($C$9,County_Lookup,10,FALSE)="",VLOOKUP($C$9,County_Lookup,10,FALSE)=0),"",VLOOKUP($C$9,County_Lookup,10,FALSE)))</f>
        <v/>
      </c>
      <c r="B62" s="66"/>
      <c r="C62" s="59" t="str">
        <f t="shared" si="64"/>
        <v/>
      </c>
      <c r="D62" s="67" t="str">
        <f t="shared" si="85"/>
        <v/>
      </c>
      <c r="E62" s="66"/>
      <c r="F62" s="59" t="str">
        <f t="shared" si="65"/>
        <v/>
      </c>
      <c r="G62" s="67" t="str">
        <f t="shared" si="86"/>
        <v/>
      </c>
      <c r="H62" s="66"/>
      <c r="I62" s="59" t="str">
        <f t="shared" si="66"/>
        <v/>
      </c>
      <c r="J62" s="67" t="str">
        <f t="shared" si="87"/>
        <v/>
      </c>
      <c r="K62" s="71" t="str">
        <f t="shared" si="88"/>
        <v/>
      </c>
      <c r="L62" s="59" t="str">
        <f t="shared" si="89"/>
        <v/>
      </c>
      <c r="M62" s="67" t="str">
        <f t="shared" si="67"/>
        <v/>
      </c>
      <c r="N62" s="66"/>
      <c r="O62" s="59" t="str">
        <f t="shared" si="68"/>
        <v/>
      </c>
      <c r="P62" s="67" t="str">
        <f t="shared" si="69"/>
        <v/>
      </c>
      <c r="Q62" s="66"/>
      <c r="R62" s="59" t="str">
        <f t="shared" si="70"/>
        <v/>
      </c>
      <c r="S62" s="67" t="str">
        <f t="shared" si="71"/>
        <v/>
      </c>
      <c r="T62" s="66"/>
      <c r="U62" s="59" t="str">
        <f t="shared" si="72"/>
        <v/>
      </c>
      <c r="V62" s="67" t="str">
        <f t="shared" si="73"/>
        <v/>
      </c>
      <c r="W62" s="71" t="str">
        <f t="shared" si="90"/>
        <v/>
      </c>
      <c r="X62" s="59" t="str">
        <f t="shared" si="91"/>
        <v/>
      </c>
      <c r="Y62" s="67" t="str">
        <f t="shared" si="74"/>
        <v/>
      </c>
      <c r="Z62" s="66"/>
      <c r="AA62" s="59" t="str">
        <f t="shared" si="75"/>
        <v/>
      </c>
      <c r="AB62" s="67" t="str">
        <f t="shared" si="76"/>
        <v/>
      </c>
      <c r="AC62" s="66"/>
      <c r="AD62" s="59" t="str">
        <f t="shared" si="77"/>
        <v/>
      </c>
      <c r="AE62" s="67" t="str">
        <f t="shared" si="78"/>
        <v/>
      </c>
      <c r="AF62" s="66"/>
      <c r="AG62" s="59" t="str">
        <f t="shared" si="79"/>
        <v/>
      </c>
      <c r="AH62" s="67" t="str">
        <f t="shared" si="80"/>
        <v/>
      </c>
      <c r="AI62" s="71" t="str">
        <f t="shared" si="92"/>
        <v/>
      </c>
      <c r="AJ62" s="59" t="str">
        <f t="shared" si="81"/>
        <v/>
      </c>
      <c r="AK62" s="67" t="str">
        <f t="shared" si="82"/>
        <v/>
      </c>
      <c r="AL62" s="66"/>
      <c r="AM62" s="59" t="str">
        <f t="shared" si="83"/>
        <v/>
      </c>
      <c r="AN62" s="67" t="str">
        <f t="shared" si="84"/>
        <v/>
      </c>
    </row>
    <row r="63" spans="1:46" ht="18" customHeight="1">
      <c r="A63" s="74" t="str">
        <f>IF($C$9="Data Not Entered On Set-Up Worksheet","",IF(OR(VLOOKUP($C$9,County_Lookup,11,FALSE)="",VLOOKUP($C$9,County_Lookup,11,FALSE)=0),"",VLOOKUP($C$9,County_Lookup,11,FALSE)))</f>
        <v/>
      </c>
      <c r="B63" s="66"/>
      <c r="C63" s="59" t="str">
        <f t="shared" si="64"/>
        <v/>
      </c>
      <c r="D63" s="67" t="str">
        <f t="shared" si="85"/>
        <v/>
      </c>
      <c r="E63" s="66"/>
      <c r="F63" s="59" t="str">
        <f t="shared" si="65"/>
        <v/>
      </c>
      <c r="G63" s="67" t="str">
        <f t="shared" si="86"/>
        <v/>
      </c>
      <c r="H63" s="66"/>
      <c r="I63" s="59" t="str">
        <f t="shared" si="66"/>
        <v/>
      </c>
      <c r="J63" s="67" t="str">
        <f t="shared" si="87"/>
        <v/>
      </c>
      <c r="K63" s="71" t="str">
        <f t="shared" si="88"/>
        <v/>
      </c>
      <c r="L63" s="59" t="str">
        <f t="shared" si="89"/>
        <v/>
      </c>
      <c r="M63" s="67" t="str">
        <f t="shared" si="67"/>
        <v/>
      </c>
      <c r="N63" s="66"/>
      <c r="O63" s="59" t="str">
        <f t="shared" si="68"/>
        <v/>
      </c>
      <c r="P63" s="67" t="str">
        <f t="shared" si="69"/>
        <v/>
      </c>
      <c r="Q63" s="66"/>
      <c r="R63" s="59" t="str">
        <f t="shared" si="70"/>
        <v/>
      </c>
      <c r="S63" s="67" t="str">
        <f t="shared" si="71"/>
        <v/>
      </c>
      <c r="T63" s="66"/>
      <c r="U63" s="59" t="str">
        <f t="shared" si="72"/>
        <v/>
      </c>
      <c r="V63" s="67" t="str">
        <f t="shared" si="73"/>
        <v/>
      </c>
      <c r="W63" s="71" t="str">
        <f t="shared" si="90"/>
        <v/>
      </c>
      <c r="X63" s="59" t="str">
        <f t="shared" si="91"/>
        <v/>
      </c>
      <c r="Y63" s="67" t="str">
        <f t="shared" si="74"/>
        <v/>
      </c>
      <c r="Z63" s="66"/>
      <c r="AA63" s="59" t="str">
        <f t="shared" si="75"/>
        <v/>
      </c>
      <c r="AB63" s="67" t="str">
        <f t="shared" si="76"/>
        <v/>
      </c>
      <c r="AC63" s="66"/>
      <c r="AD63" s="59" t="str">
        <f t="shared" si="77"/>
        <v/>
      </c>
      <c r="AE63" s="67" t="str">
        <f t="shared" si="78"/>
        <v/>
      </c>
      <c r="AF63" s="66"/>
      <c r="AG63" s="59" t="str">
        <f t="shared" si="79"/>
        <v/>
      </c>
      <c r="AH63" s="67" t="str">
        <f t="shared" si="80"/>
        <v/>
      </c>
      <c r="AI63" s="71" t="str">
        <f t="shared" si="92"/>
        <v/>
      </c>
      <c r="AJ63" s="59" t="str">
        <f t="shared" si="81"/>
        <v/>
      </c>
      <c r="AK63" s="67" t="str">
        <f t="shared" si="82"/>
        <v/>
      </c>
      <c r="AL63" s="66"/>
      <c r="AM63" s="59" t="str">
        <f t="shared" si="83"/>
        <v/>
      </c>
      <c r="AN63" s="67" t="str">
        <f t="shared" si="84"/>
        <v/>
      </c>
    </row>
    <row r="64" spans="1:46" ht="18" customHeight="1">
      <c r="A64" s="74" t="str">
        <f>IF($C$9="Data Not Entered On Set-Up Worksheet","",IF(OR(VLOOKUP($C$9,County_Lookup,12,FALSE)="",VLOOKUP($C$9,County_Lookup,12,FALSE)=0),"",VLOOKUP($C$9,County_Lookup,12,FALSE)))</f>
        <v/>
      </c>
      <c r="B64" s="66"/>
      <c r="C64" s="59" t="str">
        <f t="shared" si="64"/>
        <v/>
      </c>
      <c r="D64" s="67" t="str">
        <f t="shared" si="85"/>
        <v/>
      </c>
      <c r="E64" s="66"/>
      <c r="F64" s="59" t="str">
        <f t="shared" si="65"/>
        <v/>
      </c>
      <c r="G64" s="67" t="str">
        <f t="shared" si="86"/>
        <v/>
      </c>
      <c r="H64" s="66"/>
      <c r="I64" s="59" t="str">
        <f t="shared" si="66"/>
        <v/>
      </c>
      <c r="J64" s="67" t="str">
        <f t="shared" si="87"/>
        <v/>
      </c>
      <c r="K64" s="71" t="str">
        <f t="shared" si="88"/>
        <v/>
      </c>
      <c r="L64" s="59" t="str">
        <f t="shared" si="89"/>
        <v/>
      </c>
      <c r="M64" s="67" t="str">
        <f t="shared" si="67"/>
        <v/>
      </c>
      <c r="N64" s="66"/>
      <c r="O64" s="59" t="str">
        <f t="shared" si="68"/>
        <v/>
      </c>
      <c r="P64" s="67" t="str">
        <f t="shared" si="69"/>
        <v/>
      </c>
      <c r="Q64" s="66"/>
      <c r="R64" s="59" t="str">
        <f t="shared" si="70"/>
        <v/>
      </c>
      <c r="S64" s="67" t="str">
        <f t="shared" si="71"/>
        <v/>
      </c>
      <c r="T64" s="66"/>
      <c r="U64" s="59" t="str">
        <f t="shared" si="72"/>
        <v/>
      </c>
      <c r="V64" s="67" t="str">
        <f t="shared" si="73"/>
        <v/>
      </c>
      <c r="W64" s="71" t="str">
        <f t="shared" si="90"/>
        <v/>
      </c>
      <c r="X64" s="59" t="str">
        <f t="shared" si="91"/>
        <v/>
      </c>
      <c r="Y64" s="67" t="str">
        <f t="shared" si="74"/>
        <v/>
      </c>
      <c r="Z64" s="66"/>
      <c r="AA64" s="59" t="str">
        <f t="shared" si="75"/>
        <v/>
      </c>
      <c r="AB64" s="67" t="str">
        <f t="shared" si="76"/>
        <v/>
      </c>
      <c r="AC64" s="66"/>
      <c r="AD64" s="59" t="str">
        <f t="shared" si="77"/>
        <v/>
      </c>
      <c r="AE64" s="67" t="str">
        <f t="shared" si="78"/>
        <v/>
      </c>
      <c r="AF64" s="66"/>
      <c r="AG64" s="59" t="str">
        <f t="shared" si="79"/>
        <v/>
      </c>
      <c r="AH64" s="67" t="str">
        <f t="shared" si="80"/>
        <v/>
      </c>
      <c r="AI64" s="71" t="str">
        <f t="shared" si="92"/>
        <v/>
      </c>
      <c r="AJ64" s="59" t="str">
        <f t="shared" si="81"/>
        <v/>
      </c>
      <c r="AK64" s="67" t="str">
        <f t="shared" si="82"/>
        <v/>
      </c>
      <c r="AL64" s="66"/>
      <c r="AM64" s="59" t="str">
        <f t="shared" si="83"/>
        <v/>
      </c>
      <c r="AN64" s="67" t="str">
        <f t="shared" si="84"/>
        <v/>
      </c>
    </row>
    <row r="65" spans="1:40" ht="18" customHeight="1">
      <c r="A65" s="74" t="str">
        <f>IF($C$9="Data Not Entered On Set-Up Worksheet","",IF(OR(VLOOKUP($C$9,County_Lookup,13,FALSE)="",VLOOKUP($C$9,County_Lookup,13,FALSE)=0),"",VLOOKUP($C$9,County_Lookup,13,FALSE)))</f>
        <v/>
      </c>
      <c r="B65" s="66"/>
      <c r="C65" s="59" t="str">
        <f t="shared" si="64"/>
        <v/>
      </c>
      <c r="D65" s="67" t="str">
        <f t="shared" si="85"/>
        <v/>
      </c>
      <c r="E65" s="66"/>
      <c r="F65" s="59" t="str">
        <f t="shared" si="65"/>
        <v/>
      </c>
      <c r="G65" s="67" t="str">
        <f t="shared" si="86"/>
        <v/>
      </c>
      <c r="H65" s="66"/>
      <c r="I65" s="59" t="str">
        <f t="shared" si="66"/>
        <v/>
      </c>
      <c r="J65" s="67" t="str">
        <f t="shared" si="87"/>
        <v/>
      </c>
      <c r="K65" s="71" t="str">
        <f t="shared" si="88"/>
        <v/>
      </c>
      <c r="L65" s="59" t="str">
        <f t="shared" si="89"/>
        <v/>
      </c>
      <c r="M65" s="67" t="str">
        <f t="shared" si="67"/>
        <v/>
      </c>
      <c r="N65" s="66"/>
      <c r="O65" s="59" t="str">
        <f t="shared" si="68"/>
        <v/>
      </c>
      <c r="P65" s="67" t="str">
        <f t="shared" si="69"/>
        <v/>
      </c>
      <c r="Q65" s="66"/>
      <c r="R65" s="59" t="str">
        <f t="shared" si="70"/>
        <v/>
      </c>
      <c r="S65" s="67" t="str">
        <f t="shared" si="71"/>
        <v/>
      </c>
      <c r="T65" s="66"/>
      <c r="U65" s="59" t="str">
        <f t="shared" si="72"/>
        <v/>
      </c>
      <c r="V65" s="67" t="str">
        <f t="shared" si="73"/>
        <v/>
      </c>
      <c r="W65" s="71" t="str">
        <f t="shared" si="90"/>
        <v/>
      </c>
      <c r="X65" s="59" t="str">
        <f t="shared" si="91"/>
        <v/>
      </c>
      <c r="Y65" s="67" t="str">
        <f t="shared" si="74"/>
        <v/>
      </c>
      <c r="Z65" s="66"/>
      <c r="AA65" s="59" t="str">
        <f t="shared" si="75"/>
        <v/>
      </c>
      <c r="AB65" s="67" t="str">
        <f t="shared" si="76"/>
        <v/>
      </c>
      <c r="AC65" s="66"/>
      <c r="AD65" s="59" t="str">
        <f t="shared" si="77"/>
        <v/>
      </c>
      <c r="AE65" s="67" t="str">
        <f t="shared" si="78"/>
        <v/>
      </c>
      <c r="AF65" s="66"/>
      <c r="AG65" s="59" t="str">
        <f t="shared" si="79"/>
        <v/>
      </c>
      <c r="AH65" s="67" t="str">
        <f t="shared" si="80"/>
        <v/>
      </c>
      <c r="AI65" s="71" t="str">
        <f t="shared" si="92"/>
        <v/>
      </c>
      <c r="AJ65" s="59" t="str">
        <f t="shared" si="81"/>
        <v/>
      </c>
      <c r="AK65" s="67" t="str">
        <f t="shared" si="82"/>
        <v/>
      </c>
      <c r="AL65" s="66"/>
      <c r="AM65" s="59" t="str">
        <f t="shared" si="83"/>
        <v/>
      </c>
      <c r="AN65" s="67" t="str">
        <f t="shared" si="84"/>
        <v/>
      </c>
    </row>
    <row r="66" spans="1:40" ht="18" customHeight="1">
      <c r="A66" s="74" t="str">
        <f>IF($C$9="Data Not Entered On Set-Up Worksheet","",IF(OR(VLOOKUP($C$9,County_Lookup,14,FALSE)="",VLOOKUP($C$9,County_Lookup,14,FALSE)=0),"",VLOOKUP($C$9,County_Lookup,14,FALSE)))</f>
        <v/>
      </c>
      <c r="B66" s="66"/>
      <c r="C66" s="59" t="str">
        <f t="shared" si="64"/>
        <v/>
      </c>
      <c r="D66" s="67" t="str">
        <f t="shared" si="85"/>
        <v/>
      </c>
      <c r="E66" s="66"/>
      <c r="F66" s="59" t="str">
        <f t="shared" si="65"/>
        <v/>
      </c>
      <c r="G66" s="67" t="str">
        <f t="shared" si="86"/>
        <v/>
      </c>
      <c r="H66" s="66"/>
      <c r="I66" s="59" t="str">
        <f t="shared" si="66"/>
        <v/>
      </c>
      <c r="J66" s="67" t="str">
        <f t="shared" si="87"/>
        <v/>
      </c>
      <c r="K66" s="71" t="str">
        <f t="shared" si="88"/>
        <v/>
      </c>
      <c r="L66" s="59" t="str">
        <f t="shared" si="89"/>
        <v/>
      </c>
      <c r="M66" s="67" t="str">
        <f t="shared" si="67"/>
        <v/>
      </c>
      <c r="N66" s="66"/>
      <c r="O66" s="59" t="str">
        <f t="shared" si="68"/>
        <v/>
      </c>
      <c r="P66" s="67" t="str">
        <f t="shared" si="69"/>
        <v/>
      </c>
      <c r="Q66" s="66"/>
      <c r="R66" s="59" t="str">
        <f t="shared" si="70"/>
        <v/>
      </c>
      <c r="S66" s="67" t="str">
        <f t="shared" si="71"/>
        <v/>
      </c>
      <c r="T66" s="66"/>
      <c r="U66" s="59" t="str">
        <f t="shared" si="72"/>
        <v/>
      </c>
      <c r="V66" s="67" t="str">
        <f t="shared" si="73"/>
        <v/>
      </c>
      <c r="W66" s="71" t="str">
        <f t="shared" si="90"/>
        <v/>
      </c>
      <c r="X66" s="59" t="str">
        <f t="shared" si="91"/>
        <v/>
      </c>
      <c r="Y66" s="67" t="str">
        <f t="shared" si="74"/>
        <v/>
      </c>
      <c r="Z66" s="66"/>
      <c r="AA66" s="59" t="str">
        <f t="shared" si="75"/>
        <v/>
      </c>
      <c r="AB66" s="67" t="str">
        <f t="shared" si="76"/>
        <v/>
      </c>
      <c r="AC66" s="66"/>
      <c r="AD66" s="59" t="str">
        <f t="shared" si="77"/>
        <v/>
      </c>
      <c r="AE66" s="67" t="str">
        <f t="shared" si="78"/>
        <v/>
      </c>
      <c r="AF66" s="66"/>
      <c r="AG66" s="59" t="str">
        <f t="shared" si="79"/>
        <v/>
      </c>
      <c r="AH66" s="67" t="str">
        <f t="shared" si="80"/>
        <v/>
      </c>
      <c r="AI66" s="71" t="str">
        <f t="shared" si="92"/>
        <v/>
      </c>
      <c r="AJ66" s="59" t="str">
        <f t="shared" si="81"/>
        <v/>
      </c>
      <c r="AK66" s="67" t="str">
        <f t="shared" si="82"/>
        <v/>
      </c>
      <c r="AL66" s="66"/>
      <c r="AM66" s="59" t="str">
        <f t="shared" si="83"/>
        <v/>
      </c>
      <c r="AN66" s="67" t="str">
        <f t="shared" si="84"/>
        <v/>
      </c>
    </row>
    <row r="67" spans="1:40" ht="18" customHeight="1">
      <c r="A67" s="73" t="str">
        <f>IF($C$9="Data Not Entered On Set-Up Worksheet","",IF(OR(VLOOKUP($C$9,County_Lookup,15,FALSE)="",VLOOKUP($C$9,County_Lookup,15,FALSE)=0),"",VLOOKUP($C$9,County_Lookup,15,FALSE)))</f>
        <v/>
      </c>
      <c r="B67" s="66"/>
      <c r="C67" s="59" t="str">
        <f t="shared" si="64"/>
        <v/>
      </c>
      <c r="D67" s="67" t="str">
        <f t="shared" si="85"/>
        <v/>
      </c>
      <c r="E67" s="66"/>
      <c r="F67" s="59" t="str">
        <f t="shared" si="65"/>
        <v/>
      </c>
      <c r="G67" s="67" t="str">
        <f t="shared" si="86"/>
        <v/>
      </c>
      <c r="H67" s="66"/>
      <c r="I67" s="59" t="str">
        <f t="shared" si="66"/>
        <v/>
      </c>
      <c r="J67" s="67" t="str">
        <f t="shared" si="87"/>
        <v/>
      </c>
      <c r="K67" s="71" t="str">
        <f t="shared" si="88"/>
        <v/>
      </c>
      <c r="L67" s="59" t="str">
        <f t="shared" si="89"/>
        <v/>
      </c>
      <c r="M67" s="67" t="str">
        <f t="shared" si="67"/>
        <v/>
      </c>
      <c r="N67" s="66"/>
      <c r="O67" s="59" t="str">
        <f t="shared" si="68"/>
        <v/>
      </c>
      <c r="P67" s="67" t="str">
        <f t="shared" si="69"/>
        <v/>
      </c>
      <c r="Q67" s="66"/>
      <c r="R67" s="59" t="str">
        <f t="shared" si="70"/>
        <v/>
      </c>
      <c r="S67" s="67" t="str">
        <f t="shared" si="71"/>
        <v/>
      </c>
      <c r="T67" s="66"/>
      <c r="U67" s="59" t="str">
        <f t="shared" si="72"/>
        <v/>
      </c>
      <c r="V67" s="67" t="str">
        <f t="shared" si="73"/>
        <v/>
      </c>
      <c r="W67" s="71" t="str">
        <f t="shared" si="90"/>
        <v/>
      </c>
      <c r="X67" s="59" t="str">
        <f t="shared" si="91"/>
        <v/>
      </c>
      <c r="Y67" s="67" t="str">
        <f t="shared" si="74"/>
        <v/>
      </c>
      <c r="Z67" s="66"/>
      <c r="AA67" s="59" t="str">
        <f t="shared" si="75"/>
        <v/>
      </c>
      <c r="AB67" s="67" t="str">
        <f t="shared" si="76"/>
        <v/>
      </c>
      <c r="AC67" s="66"/>
      <c r="AD67" s="59" t="str">
        <f t="shared" si="77"/>
        <v/>
      </c>
      <c r="AE67" s="67" t="str">
        <f t="shared" si="78"/>
        <v/>
      </c>
      <c r="AF67" s="66"/>
      <c r="AG67" s="59" t="str">
        <f t="shared" si="79"/>
        <v/>
      </c>
      <c r="AH67" s="67" t="str">
        <f t="shared" si="80"/>
        <v/>
      </c>
      <c r="AI67" s="71" t="str">
        <f t="shared" si="92"/>
        <v/>
      </c>
      <c r="AJ67" s="59" t="str">
        <f t="shared" si="81"/>
        <v/>
      </c>
      <c r="AK67" s="67" t="str">
        <f t="shared" si="82"/>
        <v/>
      </c>
      <c r="AL67" s="66"/>
      <c r="AM67" s="59" t="str">
        <f t="shared" si="83"/>
        <v/>
      </c>
      <c r="AN67" s="67" t="str">
        <f t="shared" si="84"/>
        <v/>
      </c>
    </row>
    <row r="68" spans="1:40" ht="18" customHeight="1">
      <c r="A68" s="74" t="str">
        <f>IF($C$9="Data Not Entered On Set-Up Worksheet","",IF(OR(VLOOKUP($C$9,County_Lookup,16,FALSE)="",VLOOKUP($C$9,County_Lookup,16,FALSE)=0),"",VLOOKUP($C$9,County_Lookup,16,FALSE)))</f>
        <v/>
      </c>
      <c r="B68" s="66"/>
      <c r="C68" s="59" t="str">
        <f t="shared" si="64"/>
        <v/>
      </c>
      <c r="D68" s="67" t="str">
        <f t="shared" si="85"/>
        <v/>
      </c>
      <c r="E68" s="66"/>
      <c r="F68" s="59" t="str">
        <f t="shared" si="65"/>
        <v/>
      </c>
      <c r="G68" s="67" t="str">
        <f t="shared" si="86"/>
        <v/>
      </c>
      <c r="H68" s="66"/>
      <c r="I68" s="59" t="str">
        <f t="shared" si="66"/>
        <v/>
      </c>
      <c r="J68" s="67" t="str">
        <f t="shared" si="87"/>
        <v/>
      </c>
      <c r="K68" s="71" t="str">
        <f t="shared" si="88"/>
        <v/>
      </c>
      <c r="L68" s="59" t="str">
        <f t="shared" si="89"/>
        <v/>
      </c>
      <c r="M68" s="67" t="str">
        <f t="shared" si="67"/>
        <v/>
      </c>
      <c r="N68" s="66"/>
      <c r="O68" s="59" t="str">
        <f t="shared" si="68"/>
        <v/>
      </c>
      <c r="P68" s="67" t="str">
        <f t="shared" si="69"/>
        <v/>
      </c>
      <c r="Q68" s="66"/>
      <c r="R68" s="59" t="str">
        <f t="shared" si="70"/>
        <v/>
      </c>
      <c r="S68" s="67" t="str">
        <f t="shared" si="71"/>
        <v/>
      </c>
      <c r="T68" s="66"/>
      <c r="U68" s="59" t="str">
        <f t="shared" si="72"/>
        <v/>
      </c>
      <c r="V68" s="67" t="str">
        <f t="shared" si="73"/>
        <v/>
      </c>
      <c r="W68" s="71" t="str">
        <f t="shared" si="90"/>
        <v/>
      </c>
      <c r="X68" s="59" t="str">
        <f t="shared" si="91"/>
        <v/>
      </c>
      <c r="Y68" s="67" t="str">
        <f t="shared" si="74"/>
        <v/>
      </c>
      <c r="Z68" s="66"/>
      <c r="AA68" s="59" t="str">
        <f t="shared" si="75"/>
        <v/>
      </c>
      <c r="AB68" s="67" t="str">
        <f t="shared" si="76"/>
        <v/>
      </c>
      <c r="AC68" s="66"/>
      <c r="AD68" s="59" t="str">
        <f t="shared" si="77"/>
        <v/>
      </c>
      <c r="AE68" s="67" t="str">
        <f t="shared" si="78"/>
        <v/>
      </c>
      <c r="AF68" s="66"/>
      <c r="AG68" s="59" t="str">
        <f t="shared" si="79"/>
        <v/>
      </c>
      <c r="AH68" s="67" t="str">
        <f t="shared" si="80"/>
        <v/>
      </c>
      <c r="AI68" s="71" t="str">
        <f t="shared" si="92"/>
        <v/>
      </c>
      <c r="AJ68" s="59" t="str">
        <f t="shared" si="81"/>
        <v/>
      </c>
      <c r="AK68" s="67" t="str">
        <f t="shared" si="82"/>
        <v/>
      </c>
      <c r="AL68" s="66"/>
      <c r="AM68" s="59" t="str">
        <f t="shared" si="83"/>
        <v/>
      </c>
      <c r="AN68" s="67" t="str">
        <f t="shared" si="84"/>
        <v/>
      </c>
    </row>
    <row r="69" spans="1:40" ht="18" customHeight="1">
      <c r="A69" s="74" t="str">
        <f>IF($C$9="Data Not Entered On Set-Up Worksheet","",IF(OR(VLOOKUP($C$9,County_Lookup,17,FALSE)="",VLOOKUP($C$9,County_Lookup,17,FALSE)=0),"",VLOOKUP($C$9,County_Lookup,17,FALSE)))</f>
        <v/>
      </c>
      <c r="B69" s="66"/>
      <c r="C69" s="59" t="str">
        <f t="shared" si="64"/>
        <v/>
      </c>
      <c r="D69" s="67" t="str">
        <f t="shared" si="85"/>
        <v/>
      </c>
      <c r="E69" s="66"/>
      <c r="F69" s="59" t="str">
        <f t="shared" si="65"/>
        <v/>
      </c>
      <c r="G69" s="67" t="str">
        <f t="shared" si="86"/>
        <v/>
      </c>
      <c r="H69" s="66"/>
      <c r="I69" s="59" t="str">
        <f t="shared" si="66"/>
        <v/>
      </c>
      <c r="J69" s="67" t="str">
        <f t="shared" si="87"/>
        <v/>
      </c>
      <c r="K69" s="71" t="str">
        <f t="shared" si="88"/>
        <v/>
      </c>
      <c r="L69" s="59" t="str">
        <f t="shared" si="89"/>
        <v/>
      </c>
      <c r="M69" s="67" t="str">
        <f t="shared" si="67"/>
        <v/>
      </c>
      <c r="N69" s="66"/>
      <c r="O69" s="59" t="str">
        <f t="shared" si="68"/>
        <v/>
      </c>
      <c r="P69" s="67" t="str">
        <f t="shared" si="69"/>
        <v/>
      </c>
      <c r="Q69" s="66"/>
      <c r="R69" s="59" t="str">
        <f t="shared" si="70"/>
        <v/>
      </c>
      <c r="S69" s="67" t="str">
        <f t="shared" si="71"/>
        <v/>
      </c>
      <c r="T69" s="66"/>
      <c r="U69" s="59" t="str">
        <f t="shared" si="72"/>
        <v/>
      </c>
      <c r="V69" s="67" t="str">
        <f t="shared" si="73"/>
        <v/>
      </c>
      <c r="W69" s="71" t="str">
        <f t="shared" si="90"/>
        <v/>
      </c>
      <c r="X69" s="59" t="str">
        <f t="shared" si="91"/>
        <v/>
      </c>
      <c r="Y69" s="67" t="str">
        <f t="shared" si="74"/>
        <v/>
      </c>
      <c r="Z69" s="66"/>
      <c r="AA69" s="59" t="str">
        <f t="shared" si="75"/>
        <v/>
      </c>
      <c r="AB69" s="67" t="str">
        <f t="shared" si="76"/>
        <v/>
      </c>
      <c r="AC69" s="66"/>
      <c r="AD69" s="59" t="str">
        <f t="shared" si="77"/>
        <v/>
      </c>
      <c r="AE69" s="67" t="str">
        <f t="shared" si="78"/>
        <v/>
      </c>
      <c r="AF69" s="66"/>
      <c r="AG69" s="59" t="str">
        <f t="shared" si="79"/>
        <v/>
      </c>
      <c r="AH69" s="67" t="str">
        <f t="shared" si="80"/>
        <v/>
      </c>
      <c r="AI69" s="71" t="str">
        <f t="shared" si="92"/>
        <v/>
      </c>
      <c r="AJ69" s="59" t="str">
        <f t="shared" si="81"/>
        <v/>
      </c>
      <c r="AK69" s="67" t="str">
        <f t="shared" si="82"/>
        <v/>
      </c>
      <c r="AL69" s="66"/>
      <c r="AM69" s="59" t="str">
        <f t="shared" si="83"/>
        <v/>
      </c>
      <c r="AN69" s="67" t="str">
        <f t="shared" si="84"/>
        <v/>
      </c>
    </row>
    <row r="70" spans="1:40" ht="18" customHeight="1">
      <c r="A70" s="74" t="str">
        <f>IF($C$9="Data Not Entered On Set-Up Worksheet","",IF(OR(VLOOKUP($C$9,County_Lookup,18,FALSE)="",VLOOKUP($C$9,County_Lookup,18,FALSE)=0),"",VLOOKUP($C$9,County_Lookup,18,FALSE)))</f>
        <v/>
      </c>
      <c r="B70" s="66"/>
      <c r="C70" s="59" t="str">
        <f t="shared" si="64"/>
        <v/>
      </c>
      <c r="D70" s="67" t="str">
        <f t="shared" si="85"/>
        <v/>
      </c>
      <c r="E70" s="66"/>
      <c r="F70" s="59" t="str">
        <f t="shared" si="65"/>
        <v/>
      </c>
      <c r="G70" s="67" t="str">
        <f t="shared" si="86"/>
        <v/>
      </c>
      <c r="H70" s="66"/>
      <c r="I70" s="59" t="str">
        <f t="shared" si="66"/>
        <v/>
      </c>
      <c r="J70" s="67" t="str">
        <f t="shared" si="87"/>
        <v/>
      </c>
      <c r="K70" s="71" t="str">
        <f t="shared" si="88"/>
        <v/>
      </c>
      <c r="L70" s="59" t="str">
        <f t="shared" si="89"/>
        <v/>
      </c>
      <c r="M70" s="67" t="str">
        <f t="shared" si="67"/>
        <v/>
      </c>
      <c r="N70" s="66"/>
      <c r="O70" s="59" t="str">
        <f t="shared" si="68"/>
        <v/>
      </c>
      <c r="P70" s="67" t="str">
        <f t="shared" si="69"/>
        <v/>
      </c>
      <c r="Q70" s="66"/>
      <c r="R70" s="59" t="str">
        <f t="shared" si="70"/>
        <v/>
      </c>
      <c r="S70" s="67" t="str">
        <f t="shared" si="71"/>
        <v/>
      </c>
      <c r="T70" s="66"/>
      <c r="U70" s="59" t="str">
        <f t="shared" si="72"/>
        <v/>
      </c>
      <c r="V70" s="67" t="str">
        <f t="shared" si="73"/>
        <v/>
      </c>
      <c r="W70" s="71" t="str">
        <f t="shared" si="90"/>
        <v/>
      </c>
      <c r="X70" s="59" t="str">
        <f t="shared" si="91"/>
        <v/>
      </c>
      <c r="Y70" s="67" t="str">
        <f t="shared" si="74"/>
        <v/>
      </c>
      <c r="Z70" s="66"/>
      <c r="AA70" s="59" t="str">
        <f t="shared" si="75"/>
        <v/>
      </c>
      <c r="AB70" s="67" t="str">
        <f t="shared" si="76"/>
        <v/>
      </c>
      <c r="AC70" s="66"/>
      <c r="AD70" s="59" t="str">
        <f t="shared" si="77"/>
        <v/>
      </c>
      <c r="AE70" s="67" t="str">
        <f t="shared" si="78"/>
        <v/>
      </c>
      <c r="AF70" s="66"/>
      <c r="AG70" s="59" t="str">
        <f t="shared" si="79"/>
        <v/>
      </c>
      <c r="AH70" s="67" t="str">
        <f t="shared" si="80"/>
        <v/>
      </c>
      <c r="AI70" s="71" t="str">
        <f t="shared" si="92"/>
        <v/>
      </c>
      <c r="AJ70" s="59" t="str">
        <f t="shared" si="81"/>
        <v/>
      </c>
      <c r="AK70" s="67" t="str">
        <f t="shared" si="82"/>
        <v/>
      </c>
      <c r="AL70" s="66"/>
      <c r="AM70" s="59" t="str">
        <f t="shared" si="83"/>
        <v/>
      </c>
      <c r="AN70" s="67" t="str">
        <f t="shared" si="84"/>
        <v/>
      </c>
    </row>
    <row r="71" spans="1:40" ht="18" customHeight="1">
      <c r="A71" s="74" t="str">
        <f>IF($C$9="Data Not Entered On Set-Up Worksheet","",IF(OR(VLOOKUP($C$9,County_Lookup,19,FALSE)="",VLOOKUP($C$9,County_Lookup,19,FALSE)=0),"",VLOOKUP($C$9,County_Lookup,19,FALSE)))</f>
        <v/>
      </c>
      <c r="B71" s="66"/>
      <c r="C71" s="59" t="str">
        <f t="shared" si="64"/>
        <v/>
      </c>
      <c r="D71" s="67" t="str">
        <f t="shared" si="85"/>
        <v/>
      </c>
      <c r="E71" s="66"/>
      <c r="F71" s="59" t="str">
        <f t="shared" si="65"/>
        <v/>
      </c>
      <c r="G71" s="67" t="str">
        <f t="shared" si="86"/>
        <v/>
      </c>
      <c r="H71" s="66"/>
      <c r="I71" s="59" t="str">
        <f t="shared" si="66"/>
        <v/>
      </c>
      <c r="J71" s="67" t="str">
        <f t="shared" si="87"/>
        <v/>
      </c>
      <c r="K71" s="71" t="str">
        <f t="shared" si="88"/>
        <v/>
      </c>
      <c r="L71" s="59" t="str">
        <f t="shared" si="89"/>
        <v/>
      </c>
      <c r="M71" s="67" t="str">
        <f t="shared" si="67"/>
        <v/>
      </c>
      <c r="N71" s="66"/>
      <c r="O71" s="59" t="str">
        <f t="shared" si="68"/>
        <v/>
      </c>
      <c r="P71" s="67" t="str">
        <f t="shared" si="69"/>
        <v/>
      </c>
      <c r="Q71" s="66"/>
      <c r="R71" s="59" t="str">
        <f t="shared" si="70"/>
        <v/>
      </c>
      <c r="S71" s="67" t="str">
        <f t="shared" si="71"/>
        <v/>
      </c>
      <c r="T71" s="66"/>
      <c r="U71" s="59" t="str">
        <f t="shared" si="72"/>
        <v/>
      </c>
      <c r="V71" s="67" t="str">
        <f t="shared" si="73"/>
        <v/>
      </c>
      <c r="W71" s="71" t="str">
        <f t="shared" si="90"/>
        <v/>
      </c>
      <c r="X71" s="59" t="str">
        <f t="shared" si="91"/>
        <v/>
      </c>
      <c r="Y71" s="67" t="str">
        <f t="shared" si="74"/>
        <v/>
      </c>
      <c r="Z71" s="66"/>
      <c r="AA71" s="59" t="str">
        <f t="shared" si="75"/>
        <v/>
      </c>
      <c r="AB71" s="67" t="str">
        <f t="shared" si="76"/>
        <v/>
      </c>
      <c r="AC71" s="66"/>
      <c r="AD71" s="59" t="str">
        <f t="shared" si="77"/>
        <v/>
      </c>
      <c r="AE71" s="67" t="str">
        <f t="shared" si="78"/>
        <v/>
      </c>
      <c r="AF71" s="66"/>
      <c r="AG71" s="59" t="str">
        <f t="shared" si="79"/>
        <v/>
      </c>
      <c r="AH71" s="67" t="str">
        <f t="shared" si="80"/>
        <v/>
      </c>
      <c r="AI71" s="71" t="str">
        <f t="shared" si="92"/>
        <v/>
      </c>
      <c r="AJ71" s="59" t="str">
        <f t="shared" si="81"/>
        <v/>
      </c>
      <c r="AK71" s="67" t="str">
        <f t="shared" si="82"/>
        <v/>
      </c>
      <c r="AL71" s="66"/>
      <c r="AM71" s="59" t="str">
        <f t="shared" si="83"/>
        <v/>
      </c>
      <c r="AN71" s="67" t="str">
        <f t="shared" si="84"/>
        <v/>
      </c>
    </row>
    <row r="72" spans="1:40" ht="18" customHeight="1">
      <c r="A72" s="74" t="str">
        <f>IF($C$9="Data Not Entered On Set-Up Worksheet","",IF(OR(VLOOKUP($C$9,County_Lookup,20,FALSE)="",VLOOKUP($C$9,County_Lookup,20,FALSE)=0),"",VLOOKUP($C$9,County_Lookup,20,FALSE)))</f>
        <v/>
      </c>
      <c r="B72" s="66"/>
      <c r="C72" s="59" t="str">
        <f t="shared" si="64"/>
        <v/>
      </c>
      <c r="D72" s="67" t="str">
        <f t="shared" si="85"/>
        <v/>
      </c>
      <c r="E72" s="66"/>
      <c r="F72" s="59" t="str">
        <f t="shared" si="65"/>
        <v/>
      </c>
      <c r="G72" s="67" t="str">
        <f t="shared" si="86"/>
        <v/>
      </c>
      <c r="H72" s="66"/>
      <c r="I72" s="59" t="str">
        <f t="shared" si="66"/>
        <v/>
      </c>
      <c r="J72" s="67" t="str">
        <f t="shared" si="87"/>
        <v/>
      </c>
      <c r="K72" s="71" t="str">
        <f t="shared" si="88"/>
        <v/>
      </c>
      <c r="L72" s="59" t="str">
        <f t="shared" si="89"/>
        <v/>
      </c>
      <c r="M72" s="67" t="str">
        <f t="shared" si="67"/>
        <v/>
      </c>
      <c r="N72" s="66"/>
      <c r="O72" s="59" t="str">
        <f t="shared" si="68"/>
        <v/>
      </c>
      <c r="P72" s="67" t="str">
        <f t="shared" si="69"/>
        <v/>
      </c>
      <c r="Q72" s="66"/>
      <c r="R72" s="59" t="str">
        <f t="shared" si="70"/>
        <v/>
      </c>
      <c r="S72" s="67" t="str">
        <f t="shared" si="71"/>
        <v/>
      </c>
      <c r="T72" s="66"/>
      <c r="U72" s="59" t="str">
        <f t="shared" si="72"/>
        <v/>
      </c>
      <c r="V72" s="67" t="str">
        <f t="shared" si="73"/>
        <v/>
      </c>
      <c r="W72" s="71" t="str">
        <f t="shared" si="90"/>
        <v/>
      </c>
      <c r="X72" s="59" t="str">
        <f t="shared" si="91"/>
        <v/>
      </c>
      <c r="Y72" s="67" t="str">
        <f t="shared" si="74"/>
        <v/>
      </c>
      <c r="Z72" s="66"/>
      <c r="AA72" s="59" t="str">
        <f t="shared" si="75"/>
        <v/>
      </c>
      <c r="AB72" s="67" t="str">
        <f t="shared" si="76"/>
        <v/>
      </c>
      <c r="AC72" s="66"/>
      <c r="AD72" s="59" t="str">
        <f t="shared" si="77"/>
        <v/>
      </c>
      <c r="AE72" s="67" t="str">
        <f t="shared" si="78"/>
        <v/>
      </c>
      <c r="AF72" s="66"/>
      <c r="AG72" s="59" t="str">
        <f t="shared" si="79"/>
        <v/>
      </c>
      <c r="AH72" s="67" t="str">
        <f t="shared" si="80"/>
        <v/>
      </c>
      <c r="AI72" s="71" t="str">
        <f t="shared" si="92"/>
        <v/>
      </c>
      <c r="AJ72" s="59" t="str">
        <f t="shared" si="81"/>
        <v/>
      </c>
      <c r="AK72" s="67" t="str">
        <f t="shared" si="82"/>
        <v/>
      </c>
      <c r="AL72" s="66"/>
      <c r="AM72" s="59" t="str">
        <f t="shared" si="83"/>
        <v/>
      </c>
      <c r="AN72" s="67" t="str">
        <f t="shared" si="84"/>
        <v/>
      </c>
    </row>
    <row r="73" spans="1:40" ht="18" customHeight="1">
      <c r="A73" s="74" t="str">
        <f>IF($C$9="Data Not Entered On Set-Up Worksheet","",IF(OR(VLOOKUP($C$9,County_Lookup,21,FALSE)="",VLOOKUP($C$9,County_Lookup,21,FALSE)=0),"",VLOOKUP($C$9,County_Lookup,21,FALSE)))</f>
        <v/>
      </c>
      <c r="B73" s="66"/>
      <c r="C73" s="59" t="str">
        <f t="shared" si="64"/>
        <v/>
      </c>
      <c r="D73" s="67" t="str">
        <f t="shared" si="85"/>
        <v/>
      </c>
      <c r="E73" s="66"/>
      <c r="F73" s="59" t="str">
        <f t="shared" si="65"/>
        <v/>
      </c>
      <c r="G73" s="67" t="str">
        <f t="shared" si="86"/>
        <v/>
      </c>
      <c r="H73" s="66"/>
      <c r="I73" s="59" t="str">
        <f t="shared" si="66"/>
        <v/>
      </c>
      <c r="J73" s="67" t="str">
        <f t="shared" si="87"/>
        <v/>
      </c>
      <c r="K73" s="71" t="str">
        <f t="shared" si="88"/>
        <v/>
      </c>
      <c r="L73" s="59" t="str">
        <f t="shared" si="89"/>
        <v/>
      </c>
      <c r="M73" s="67" t="str">
        <f t="shared" si="67"/>
        <v/>
      </c>
      <c r="N73" s="66"/>
      <c r="O73" s="59" t="str">
        <f t="shared" si="68"/>
        <v/>
      </c>
      <c r="P73" s="67" t="str">
        <f t="shared" si="69"/>
        <v/>
      </c>
      <c r="Q73" s="66"/>
      <c r="R73" s="59" t="str">
        <f t="shared" si="70"/>
        <v/>
      </c>
      <c r="S73" s="67" t="str">
        <f t="shared" si="71"/>
        <v/>
      </c>
      <c r="T73" s="66"/>
      <c r="U73" s="59" t="str">
        <f t="shared" si="72"/>
        <v/>
      </c>
      <c r="V73" s="67" t="str">
        <f t="shared" si="73"/>
        <v/>
      </c>
      <c r="W73" s="71" t="str">
        <f t="shared" si="90"/>
        <v/>
      </c>
      <c r="X73" s="59" t="str">
        <f t="shared" si="91"/>
        <v/>
      </c>
      <c r="Y73" s="67" t="str">
        <f t="shared" si="74"/>
        <v/>
      </c>
      <c r="Z73" s="66"/>
      <c r="AA73" s="59" t="str">
        <f t="shared" si="75"/>
        <v/>
      </c>
      <c r="AB73" s="67" t="str">
        <f t="shared" si="76"/>
        <v/>
      </c>
      <c r="AC73" s="66"/>
      <c r="AD73" s="59" t="str">
        <f t="shared" si="77"/>
        <v/>
      </c>
      <c r="AE73" s="67" t="str">
        <f t="shared" si="78"/>
        <v/>
      </c>
      <c r="AF73" s="66"/>
      <c r="AG73" s="59" t="str">
        <f t="shared" si="79"/>
        <v/>
      </c>
      <c r="AH73" s="67" t="str">
        <f t="shared" si="80"/>
        <v/>
      </c>
      <c r="AI73" s="71" t="str">
        <f t="shared" si="92"/>
        <v/>
      </c>
      <c r="AJ73" s="59" t="str">
        <f t="shared" si="81"/>
        <v/>
      </c>
      <c r="AK73" s="67" t="str">
        <f t="shared" si="82"/>
        <v/>
      </c>
      <c r="AL73" s="66"/>
      <c r="AM73" s="59" t="str">
        <f t="shared" si="83"/>
        <v/>
      </c>
      <c r="AN73" s="67" t="str">
        <f t="shared" si="84"/>
        <v/>
      </c>
    </row>
    <row r="74" spans="1:40" ht="18" customHeight="1">
      <c r="A74" s="73" t="str">
        <f>IF($C$9="Data Not Entered On Set-Up Worksheet","",IF(OR(VLOOKUP($C$9,County_Lookup,22,FALSE)="",VLOOKUP($C$9,County_Lookup,22,FALSE)=0),"",VLOOKUP($C$9,County_Lookup,22,FALSE)))</f>
        <v/>
      </c>
      <c r="B74" s="66"/>
      <c r="C74" s="59" t="str">
        <f t="shared" si="64"/>
        <v/>
      </c>
      <c r="D74" s="67" t="str">
        <f t="shared" si="85"/>
        <v/>
      </c>
      <c r="E74" s="66"/>
      <c r="F74" s="59" t="str">
        <f t="shared" si="65"/>
        <v/>
      </c>
      <c r="G74" s="67" t="str">
        <f t="shared" si="86"/>
        <v/>
      </c>
      <c r="H74" s="66"/>
      <c r="I74" s="59" t="str">
        <f t="shared" si="66"/>
        <v/>
      </c>
      <c r="J74" s="67" t="str">
        <f t="shared" si="87"/>
        <v/>
      </c>
      <c r="K74" s="71" t="str">
        <f t="shared" si="88"/>
        <v/>
      </c>
      <c r="L74" s="59" t="str">
        <f t="shared" si="89"/>
        <v/>
      </c>
      <c r="M74" s="67" t="str">
        <f t="shared" si="67"/>
        <v/>
      </c>
      <c r="N74" s="66"/>
      <c r="O74" s="59" t="str">
        <f t="shared" si="68"/>
        <v/>
      </c>
      <c r="P74" s="67" t="str">
        <f t="shared" si="69"/>
        <v/>
      </c>
      <c r="Q74" s="66"/>
      <c r="R74" s="59" t="str">
        <f t="shared" si="70"/>
        <v/>
      </c>
      <c r="S74" s="67" t="str">
        <f t="shared" si="71"/>
        <v/>
      </c>
      <c r="T74" s="66"/>
      <c r="U74" s="59" t="str">
        <f t="shared" si="72"/>
        <v/>
      </c>
      <c r="V74" s="67" t="str">
        <f t="shared" si="73"/>
        <v/>
      </c>
      <c r="W74" s="71" t="str">
        <f t="shared" si="90"/>
        <v/>
      </c>
      <c r="X74" s="59" t="str">
        <f t="shared" si="91"/>
        <v/>
      </c>
      <c r="Y74" s="67" t="str">
        <f t="shared" si="74"/>
        <v/>
      </c>
      <c r="Z74" s="66"/>
      <c r="AA74" s="59" t="str">
        <f t="shared" si="75"/>
        <v/>
      </c>
      <c r="AB74" s="67" t="str">
        <f t="shared" si="76"/>
        <v/>
      </c>
      <c r="AC74" s="66"/>
      <c r="AD74" s="59" t="str">
        <f t="shared" si="77"/>
        <v/>
      </c>
      <c r="AE74" s="67" t="str">
        <f t="shared" si="78"/>
        <v/>
      </c>
      <c r="AF74" s="66"/>
      <c r="AG74" s="59" t="str">
        <f t="shared" si="79"/>
        <v/>
      </c>
      <c r="AH74" s="67" t="str">
        <f t="shared" si="80"/>
        <v/>
      </c>
      <c r="AI74" s="71" t="str">
        <f t="shared" si="92"/>
        <v/>
      </c>
      <c r="AJ74" s="59" t="str">
        <f t="shared" si="81"/>
        <v/>
      </c>
      <c r="AK74" s="67" t="str">
        <f t="shared" si="82"/>
        <v/>
      </c>
      <c r="AL74" s="66"/>
      <c r="AM74" s="59" t="str">
        <f t="shared" si="83"/>
        <v/>
      </c>
      <c r="AN74" s="67" t="str">
        <f t="shared" si="84"/>
        <v/>
      </c>
    </row>
    <row r="75" spans="1:40" ht="18" customHeight="1">
      <c r="A75" s="74" t="str">
        <f>IF($C$9="Data Not Entered On Set-Up Worksheet","",IF(OR(VLOOKUP($C$9,County_Lookup,23,FALSE)="",VLOOKUP($C$9,County_Lookup,23,FALSE)=0),"",VLOOKUP($C$9,County_Lookup,23,FALSE)))</f>
        <v/>
      </c>
      <c r="B75" s="66"/>
      <c r="C75" s="59" t="str">
        <f t="shared" si="64"/>
        <v/>
      </c>
      <c r="D75" s="67" t="str">
        <f t="shared" si="85"/>
        <v/>
      </c>
      <c r="E75" s="66"/>
      <c r="F75" s="59" t="str">
        <f t="shared" si="65"/>
        <v/>
      </c>
      <c r="G75" s="67" t="str">
        <f t="shared" si="86"/>
        <v/>
      </c>
      <c r="H75" s="66"/>
      <c r="I75" s="59" t="str">
        <f t="shared" si="66"/>
        <v/>
      </c>
      <c r="J75" s="67" t="str">
        <f t="shared" si="87"/>
        <v/>
      </c>
      <c r="K75" s="71" t="str">
        <f t="shared" si="88"/>
        <v/>
      </c>
      <c r="L75" s="59" t="str">
        <f t="shared" si="89"/>
        <v/>
      </c>
      <c r="M75" s="67" t="str">
        <f t="shared" si="67"/>
        <v/>
      </c>
      <c r="N75" s="66"/>
      <c r="O75" s="59" t="str">
        <f t="shared" si="68"/>
        <v/>
      </c>
      <c r="P75" s="67" t="str">
        <f t="shared" si="69"/>
        <v/>
      </c>
      <c r="Q75" s="66"/>
      <c r="R75" s="59" t="str">
        <f t="shared" si="70"/>
        <v/>
      </c>
      <c r="S75" s="67" t="str">
        <f t="shared" si="71"/>
        <v/>
      </c>
      <c r="T75" s="66"/>
      <c r="U75" s="59" t="str">
        <f t="shared" si="72"/>
        <v/>
      </c>
      <c r="V75" s="67" t="str">
        <f t="shared" si="73"/>
        <v/>
      </c>
      <c r="W75" s="71" t="str">
        <f t="shared" si="90"/>
        <v/>
      </c>
      <c r="X75" s="59" t="str">
        <f t="shared" si="91"/>
        <v/>
      </c>
      <c r="Y75" s="67" t="str">
        <f t="shared" si="74"/>
        <v/>
      </c>
      <c r="Z75" s="66"/>
      <c r="AA75" s="59" t="str">
        <f t="shared" si="75"/>
        <v/>
      </c>
      <c r="AB75" s="67" t="str">
        <f t="shared" si="76"/>
        <v/>
      </c>
      <c r="AC75" s="66"/>
      <c r="AD75" s="59" t="str">
        <f t="shared" si="77"/>
        <v/>
      </c>
      <c r="AE75" s="67" t="str">
        <f t="shared" si="78"/>
        <v/>
      </c>
      <c r="AF75" s="66"/>
      <c r="AG75" s="59" t="str">
        <f t="shared" si="79"/>
        <v/>
      </c>
      <c r="AH75" s="67" t="str">
        <f t="shared" si="80"/>
        <v/>
      </c>
      <c r="AI75" s="71" t="str">
        <f t="shared" si="92"/>
        <v/>
      </c>
      <c r="AJ75" s="59" t="str">
        <f t="shared" si="81"/>
        <v/>
      </c>
      <c r="AK75" s="67" t="str">
        <f t="shared" si="82"/>
        <v/>
      </c>
      <c r="AL75" s="66"/>
      <c r="AM75" s="59" t="str">
        <f t="shared" si="83"/>
        <v/>
      </c>
      <c r="AN75" s="67" t="str">
        <f t="shared" si="84"/>
        <v/>
      </c>
    </row>
    <row r="76" spans="1:40" ht="18" customHeight="1">
      <c r="A76" s="74" t="str">
        <f>IF($C$9="Data Not Entered On Set-Up Worksheet","",IF(OR(VLOOKUP($C$9,County_Lookup,24,FALSE)="",VLOOKUP($C$9,County_Lookup,24,FALSE)=0),"",VLOOKUP($C$9,County_Lookup,24,FALSE)))</f>
        <v/>
      </c>
      <c r="B76" s="66"/>
      <c r="C76" s="59" t="str">
        <f t="shared" si="64"/>
        <v/>
      </c>
      <c r="D76" s="67" t="str">
        <f t="shared" si="85"/>
        <v/>
      </c>
      <c r="E76" s="66"/>
      <c r="F76" s="59" t="str">
        <f t="shared" si="65"/>
        <v/>
      </c>
      <c r="G76" s="67" t="str">
        <f t="shared" si="86"/>
        <v/>
      </c>
      <c r="H76" s="66"/>
      <c r="I76" s="59" t="str">
        <f t="shared" si="66"/>
        <v/>
      </c>
      <c r="J76" s="67" t="str">
        <f t="shared" si="87"/>
        <v/>
      </c>
      <c r="K76" s="71" t="str">
        <f t="shared" si="88"/>
        <v/>
      </c>
      <c r="L76" s="59" t="str">
        <f t="shared" si="89"/>
        <v/>
      </c>
      <c r="M76" s="67" t="str">
        <f t="shared" si="67"/>
        <v/>
      </c>
      <c r="N76" s="66"/>
      <c r="O76" s="59" t="str">
        <f t="shared" si="68"/>
        <v/>
      </c>
      <c r="P76" s="67" t="str">
        <f t="shared" si="69"/>
        <v/>
      </c>
      <c r="Q76" s="66"/>
      <c r="R76" s="59" t="str">
        <f t="shared" si="70"/>
        <v/>
      </c>
      <c r="S76" s="67" t="str">
        <f t="shared" si="71"/>
        <v/>
      </c>
      <c r="T76" s="66"/>
      <c r="U76" s="59" t="str">
        <f t="shared" si="72"/>
        <v/>
      </c>
      <c r="V76" s="67" t="str">
        <f t="shared" si="73"/>
        <v/>
      </c>
      <c r="W76" s="71" t="str">
        <f t="shared" si="90"/>
        <v/>
      </c>
      <c r="X76" s="59" t="str">
        <f t="shared" si="91"/>
        <v/>
      </c>
      <c r="Y76" s="67" t="str">
        <f t="shared" si="74"/>
        <v/>
      </c>
      <c r="Z76" s="66"/>
      <c r="AA76" s="59" t="str">
        <f t="shared" si="75"/>
        <v/>
      </c>
      <c r="AB76" s="67" t="str">
        <f t="shared" si="76"/>
        <v/>
      </c>
      <c r="AC76" s="66"/>
      <c r="AD76" s="59" t="str">
        <f t="shared" si="77"/>
        <v/>
      </c>
      <c r="AE76" s="67" t="str">
        <f t="shared" si="78"/>
        <v/>
      </c>
      <c r="AF76" s="66"/>
      <c r="AG76" s="59" t="str">
        <f t="shared" si="79"/>
        <v/>
      </c>
      <c r="AH76" s="67" t="str">
        <f t="shared" si="80"/>
        <v/>
      </c>
      <c r="AI76" s="71" t="str">
        <f t="shared" si="92"/>
        <v/>
      </c>
      <c r="AJ76" s="59" t="str">
        <f t="shared" si="81"/>
        <v/>
      </c>
      <c r="AK76" s="67" t="str">
        <f t="shared" si="82"/>
        <v/>
      </c>
      <c r="AL76" s="66"/>
      <c r="AM76" s="59" t="str">
        <f t="shared" si="83"/>
        <v/>
      </c>
      <c r="AN76" s="67" t="str">
        <f t="shared" si="84"/>
        <v/>
      </c>
    </row>
    <row r="77" spans="1:40" ht="18" customHeight="1">
      <c r="A77" s="74" t="str">
        <f>IF($C$9="Data Not Entered On Set-Up Worksheet","",IF(OR(VLOOKUP($C$9,County_Lookup,25,FALSE)="",VLOOKUP($C$9,County_Lookup,25,FALSE)=0),"",VLOOKUP($C$9,County_Lookup,25,FALSE)))</f>
        <v/>
      </c>
      <c r="B77" s="66"/>
      <c r="C77" s="59" t="str">
        <f t="shared" si="64"/>
        <v/>
      </c>
      <c r="D77" s="67" t="str">
        <f t="shared" si="85"/>
        <v/>
      </c>
      <c r="E77" s="66"/>
      <c r="F77" s="59" t="str">
        <f t="shared" si="65"/>
        <v/>
      </c>
      <c r="G77" s="67" t="str">
        <f t="shared" si="86"/>
        <v/>
      </c>
      <c r="H77" s="66"/>
      <c r="I77" s="59" t="str">
        <f t="shared" si="66"/>
        <v/>
      </c>
      <c r="J77" s="67" t="str">
        <f t="shared" si="87"/>
        <v/>
      </c>
      <c r="K77" s="71" t="str">
        <f t="shared" si="88"/>
        <v/>
      </c>
      <c r="L77" s="59" t="str">
        <f t="shared" si="89"/>
        <v/>
      </c>
      <c r="M77" s="67" t="str">
        <f t="shared" si="67"/>
        <v/>
      </c>
      <c r="N77" s="66"/>
      <c r="O77" s="59" t="str">
        <f t="shared" si="68"/>
        <v/>
      </c>
      <c r="P77" s="67" t="str">
        <f t="shared" si="69"/>
        <v/>
      </c>
      <c r="Q77" s="66"/>
      <c r="R77" s="59" t="str">
        <f t="shared" si="70"/>
        <v/>
      </c>
      <c r="S77" s="67" t="str">
        <f t="shared" si="71"/>
        <v/>
      </c>
      <c r="T77" s="66"/>
      <c r="U77" s="59" t="str">
        <f t="shared" si="72"/>
        <v/>
      </c>
      <c r="V77" s="67" t="str">
        <f t="shared" si="73"/>
        <v/>
      </c>
      <c r="W77" s="71" t="str">
        <f t="shared" si="90"/>
        <v/>
      </c>
      <c r="X77" s="59" t="str">
        <f t="shared" si="91"/>
        <v/>
      </c>
      <c r="Y77" s="67" t="str">
        <f t="shared" si="74"/>
        <v/>
      </c>
      <c r="Z77" s="66"/>
      <c r="AA77" s="59" t="str">
        <f t="shared" si="75"/>
        <v/>
      </c>
      <c r="AB77" s="67" t="str">
        <f t="shared" si="76"/>
        <v/>
      </c>
      <c r="AC77" s="66"/>
      <c r="AD77" s="59" t="str">
        <f t="shared" si="77"/>
        <v/>
      </c>
      <c r="AE77" s="67" t="str">
        <f t="shared" si="78"/>
        <v/>
      </c>
      <c r="AF77" s="66"/>
      <c r="AG77" s="59" t="str">
        <f t="shared" si="79"/>
        <v/>
      </c>
      <c r="AH77" s="67" t="str">
        <f t="shared" si="80"/>
        <v/>
      </c>
      <c r="AI77" s="71" t="str">
        <f t="shared" si="92"/>
        <v/>
      </c>
      <c r="AJ77" s="59" t="str">
        <f t="shared" si="81"/>
        <v/>
      </c>
      <c r="AK77" s="67" t="str">
        <f t="shared" si="82"/>
        <v/>
      </c>
      <c r="AL77" s="66"/>
      <c r="AM77" s="59" t="str">
        <f t="shared" si="83"/>
        <v/>
      </c>
      <c r="AN77" s="67" t="str">
        <f t="shared" si="84"/>
        <v/>
      </c>
    </row>
    <row r="78" spans="1:40" ht="18" customHeight="1">
      <c r="A78" s="74" t="str">
        <f>IF($C$9="Data Not Entered On Set-Up Worksheet","",IF(OR(VLOOKUP($C$9,County_Lookup,26,FALSE)="",VLOOKUP($C$9,County_Lookup,26,FALSE)=0),"",VLOOKUP($C$9,County_Lookup,26,FALSE)))</f>
        <v/>
      </c>
      <c r="B78" s="66"/>
      <c r="C78" s="59" t="str">
        <f t="shared" si="64"/>
        <v/>
      </c>
      <c r="D78" s="67" t="str">
        <f t="shared" si="85"/>
        <v/>
      </c>
      <c r="E78" s="66"/>
      <c r="F78" s="59" t="str">
        <f t="shared" si="65"/>
        <v/>
      </c>
      <c r="G78" s="67" t="str">
        <f t="shared" si="86"/>
        <v/>
      </c>
      <c r="H78" s="66"/>
      <c r="I78" s="59" t="str">
        <f t="shared" si="66"/>
        <v/>
      </c>
      <c r="J78" s="67" t="str">
        <f t="shared" si="87"/>
        <v/>
      </c>
      <c r="K78" s="71" t="str">
        <f t="shared" si="88"/>
        <v/>
      </c>
      <c r="L78" s="59" t="str">
        <f t="shared" si="89"/>
        <v/>
      </c>
      <c r="M78" s="67" t="str">
        <f t="shared" si="67"/>
        <v/>
      </c>
      <c r="N78" s="66"/>
      <c r="O78" s="59" t="str">
        <f t="shared" si="68"/>
        <v/>
      </c>
      <c r="P78" s="67" t="str">
        <f t="shared" si="69"/>
        <v/>
      </c>
      <c r="Q78" s="66"/>
      <c r="R78" s="59" t="str">
        <f t="shared" si="70"/>
        <v/>
      </c>
      <c r="S78" s="67" t="str">
        <f t="shared" si="71"/>
        <v/>
      </c>
      <c r="T78" s="66"/>
      <c r="U78" s="59" t="str">
        <f t="shared" si="72"/>
        <v/>
      </c>
      <c r="V78" s="67" t="str">
        <f t="shared" si="73"/>
        <v/>
      </c>
      <c r="W78" s="71" t="str">
        <f t="shared" si="90"/>
        <v/>
      </c>
      <c r="X78" s="59" t="str">
        <f t="shared" si="91"/>
        <v/>
      </c>
      <c r="Y78" s="67" t="str">
        <f t="shared" si="74"/>
        <v/>
      </c>
      <c r="Z78" s="66"/>
      <c r="AA78" s="59" t="str">
        <f t="shared" si="75"/>
        <v/>
      </c>
      <c r="AB78" s="67" t="str">
        <f t="shared" si="76"/>
        <v/>
      </c>
      <c r="AC78" s="66"/>
      <c r="AD78" s="59" t="str">
        <f t="shared" si="77"/>
        <v/>
      </c>
      <c r="AE78" s="67" t="str">
        <f t="shared" si="78"/>
        <v/>
      </c>
      <c r="AF78" s="66"/>
      <c r="AG78" s="59" t="str">
        <f t="shared" si="79"/>
        <v/>
      </c>
      <c r="AH78" s="67" t="str">
        <f t="shared" si="80"/>
        <v/>
      </c>
      <c r="AI78" s="71" t="str">
        <f t="shared" si="92"/>
        <v/>
      </c>
      <c r="AJ78" s="59" t="str">
        <f t="shared" si="81"/>
        <v/>
      </c>
      <c r="AK78" s="67" t="str">
        <f t="shared" si="82"/>
        <v/>
      </c>
      <c r="AL78" s="66"/>
      <c r="AM78" s="59" t="str">
        <f t="shared" si="83"/>
        <v/>
      </c>
      <c r="AN78" s="67" t="str">
        <f t="shared" si="84"/>
        <v/>
      </c>
    </row>
    <row r="79" spans="1:40" ht="18" customHeight="1">
      <c r="A79" s="74" t="str">
        <f>IF($C$9="Data Not Entered On Set-Up Worksheet","",IF(OR(VLOOKUP($C$9,County_Lookup,27,FALSE)="",VLOOKUP($C$9,County_Lookup,27,FALSE)=0),"",VLOOKUP($C$9,County_Lookup,27,FALSE)))</f>
        <v/>
      </c>
      <c r="B79" s="66"/>
      <c r="C79" s="59" t="str">
        <f t="shared" si="64"/>
        <v/>
      </c>
      <c r="D79" s="67" t="str">
        <f t="shared" si="85"/>
        <v/>
      </c>
      <c r="E79" s="66"/>
      <c r="F79" s="59" t="str">
        <f t="shared" si="65"/>
        <v/>
      </c>
      <c r="G79" s="67" t="str">
        <f t="shared" si="86"/>
        <v/>
      </c>
      <c r="H79" s="66"/>
      <c r="I79" s="59" t="str">
        <f t="shared" si="66"/>
        <v/>
      </c>
      <c r="J79" s="67" t="str">
        <f t="shared" si="87"/>
        <v/>
      </c>
      <c r="K79" s="71" t="str">
        <f t="shared" si="88"/>
        <v/>
      </c>
      <c r="L79" s="59" t="str">
        <f t="shared" si="89"/>
        <v/>
      </c>
      <c r="M79" s="67" t="str">
        <f t="shared" si="67"/>
        <v/>
      </c>
      <c r="N79" s="66"/>
      <c r="O79" s="59" t="str">
        <f t="shared" si="68"/>
        <v/>
      </c>
      <c r="P79" s="67" t="str">
        <f t="shared" si="69"/>
        <v/>
      </c>
      <c r="Q79" s="66"/>
      <c r="R79" s="59" t="str">
        <f t="shared" si="70"/>
        <v/>
      </c>
      <c r="S79" s="67" t="str">
        <f t="shared" si="71"/>
        <v/>
      </c>
      <c r="T79" s="66"/>
      <c r="U79" s="59" t="str">
        <f t="shared" si="72"/>
        <v/>
      </c>
      <c r="V79" s="67" t="str">
        <f t="shared" si="73"/>
        <v/>
      </c>
      <c r="W79" s="71" t="str">
        <f t="shared" si="90"/>
        <v/>
      </c>
      <c r="X79" s="59" t="str">
        <f t="shared" si="91"/>
        <v/>
      </c>
      <c r="Y79" s="67" t="str">
        <f t="shared" si="74"/>
        <v/>
      </c>
      <c r="Z79" s="66"/>
      <c r="AA79" s="59" t="str">
        <f t="shared" si="75"/>
        <v/>
      </c>
      <c r="AB79" s="67" t="str">
        <f t="shared" si="76"/>
        <v/>
      </c>
      <c r="AC79" s="66"/>
      <c r="AD79" s="59" t="str">
        <f t="shared" si="77"/>
        <v/>
      </c>
      <c r="AE79" s="67" t="str">
        <f t="shared" si="78"/>
        <v/>
      </c>
      <c r="AF79" s="66"/>
      <c r="AG79" s="59" t="str">
        <f t="shared" si="79"/>
        <v/>
      </c>
      <c r="AH79" s="67" t="str">
        <f t="shared" si="80"/>
        <v/>
      </c>
      <c r="AI79" s="71" t="str">
        <f t="shared" si="92"/>
        <v/>
      </c>
      <c r="AJ79" s="59" t="str">
        <f t="shared" si="81"/>
        <v/>
      </c>
      <c r="AK79" s="67" t="str">
        <f t="shared" si="82"/>
        <v/>
      </c>
      <c r="AL79" s="66"/>
      <c r="AM79" s="59" t="str">
        <f t="shared" si="83"/>
        <v/>
      </c>
      <c r="AN79" s="67" t="str">
        <f t="shared" si="84"/>
        <v/>
      </c>
    </row>
    <row r="80" spans="1:40" ht="18" customHeight="1">
      <c r="A80" s="74" t="str">
        <f>IF($C$9="Data Not Entered On Set-Up Worksheet","",IF(OR(VLOOKUP($C$9,County_Lookup,28,FALSE)="",VLOOKUP($C$9,County_Lookup,28,FALSE)=0),"",VLOOKUP($C$9,County_Lookup,28,FALSE)))</f>
        <v/>
      </c>
      <c r="B80" s="66"/>
      <c r="C80" s="59" t="str">
        <f t="shared" si="64"/>
        <v/>
      </c>
      <c r="D80" s="67" t="str">
        <f t="shared" si="85"/>
        <v/>
      </c>
      <c r="E80" s="66"/>
      <c r="F80" s="59" t="str">
        <f t="shared" si="65"/>
        <v/>
      </c>
      <c r="G80" s="67" t="str">
        <f t="shared" si="86"/>
        <v/>
      </c>
      <c r="H80" s="66"/>
      <c r="I80" s="59" t="str">
        <f t="shared" si="66"/>
        <v/>
      </c>
      <c r="J80" s="67" t="str">
        <f t="shared" si="87"/>
        <v/>
      </c>
      <c r="K80" s="71" t="str">
        <f t="shared" si="88"/>
        <v/>
      </c>
      <c r="L80" s="59" t="str">
        <f t="shared" si="89"/>
        <v/>
      </c>
      <c r="M80" s="67" t="str">
        <f t="shared" si="67"/>
        <v/>
      </c>
      <c r="N80" s="66"/>
      <c r="O80" s="59" t="str">
        <f t="shared" si="68"/>
        <v/>
      </c>
      <c r="P80" s="67" t="str">
        <f t="shared" si="69"/>
        <v/>
      </c>
      <c r="Q80" s="66"/>
      <c r="R80" s="59" t="str">
        <f t="shared" si="70"/>
        <v/>
      </c>
      <c r="S80" s="67" t="str">
        <f t="shared" si="71"/>
        <v/>
      </c>
      <c r="T80" s="66"/>
      <c r="U80" s="59" t="str">
        <f t="shared" si="72"/>
        <v/>
      </c>
      <c r="V80" s="67" t="str">
        <f t="shared" si="73"/>
        <v/>
      </c>
      <c r="W80" s="71" t="str">
        <f t="shared" si="90"/>
        <v/>
      </c>
      <c r="X80" s="59" t="str">
        <f t="shared" si="91"/>
        <v/>
      </c>
      <c r="Y80" s="67" t="str">
        <f t="shared" si="74"/>
        <v/>
      </c>
      <c r="Z80" s="66"/>
      <c r="AA80" s="59" t="str">
        <f t="shared" si="75"/>
        <v/>
      </c>
      <c r="AB80" s="67" t="str">
        <f t="shared" si="76"/>
        <v/>
      </c>
      <c r="AC80" s="66"/>
      <c r="AD80" s="59" t="str">
        <f t="shared" si="77"/>
        <v/>
      </c>
      <c r="AE80" s="67" t="str">
        <f t="shared" si="78"/>
        <v/>
      </c>
      <c r="AF80" s="66"/>
      <c r="AG80" s="59" t="str">
        <f t="shared" si="79"/>
        <v/>
      </c>
      <c r="AH80" s="67" t="str">
        <f t="shared" si="80"/>
        <v/>
      </c>
      <c r="AI80" s="71" t="str">
        <f t="shared" si="92"/>
        <v/>
      </c>
      <c r="AJ80" s="59" t="str">
        <f t="shared" si="81"/>
        <v/>
      </c>
      <c r="AK80" s="67" t="str">
        <f t="shared" si="82"/>
        <v/>
      </c>
      <c r="AL80" s="66"/>
      <c r="AM80" s="59" t="str">
        <f t="shared" si="83"/>
        <v/>
      </c>
      <c r="AN80" s="67" t="str">
        <f t="shared" si="84"/>
        <v/>
      </c>
    </row>
    <row r="81" spans="1:40" ht="18" customHeight="1" thickBot="1">
      <c r="A81" s="75" t="s">
        <v>0</v>
      </c>
      <c r="B81" s="68">
        <f>SUM(B54:B80)</f>
        <v>0</v>
      </c>
      <c r="C81" s="69">
        <f>SUM(C54:C80)</f>
        <v>0</v>
      </c>
      <c r="D81" s="70">
        <f t="shared" ref="D81" si="93">IF(C81=0,0,B81/C81)</f>
        <v>0</v>
      </c>
      <c r="E81" s="68">
        <f>SUM(E54:E80)</f>
        <v>0</v>
      </c>
      <c r="F81" s="69">
        <f>SUM(F54:F80)</f>
        <v>0</v>
      </c>
      <c r="G81" s="70">
        <f t="shared" ref="G81" si="94">IF(F81=0,0,E81/F81)</f>
        <v>0</v>
      </c>
      <c r="H81" s="68">
        <f>SUM(H54:H80)</f>
        <v>0</v>
      </c>
      <c r="I81" s="69">
        <f>SUM(I54:I80)</f>
        <v>0</v>
      </c>
      <c r="J81" s="70">
        <f t="shared" ref="J81" si="95">IF(I81=0,0,H81/I81)</f>
        <v>0</v>
      </c>
      <c r="K81" s="68">
        <f>SUM(K54:K80)</f>
        <v>0</v>
      </c>
      <c r="L81" s="69">
        <f>SUM(L54:L80)</f>
        <v>0</v>
      </c>
      <c r="M81" s="70">
        <f t="shared" ref="M81" si="96">IF(L81=0,0,K81/L81)</f>
        <v>0</v>
      </c>
      <c r="N81" s="68">
        <f>SUM(N54:N80)</f>
        <v>0</v>
      </c>
      <c r="O81" s="69">
        <f>SUM(O54:O80)</f>
        <v>0</v>
      </c>
      <c r="P81" s="70">
        <f t="shared" ref="P81" si="97">IF(O81=0,0,N81/O81)</f>
        <v>0</v>
      </c>
      <c r="Q81" s="68">
        <f>SUM(Q54:Q80)</f>
        <v>0</v>
      </c>
      <c r="R81" s="69">
        <f>SUM(R54:R80)</f>
        <v>0</v>
      </c>
      <c r="S81" s="70">
        <f t="shared" ref="S81" si="98">IF(R81=0,0,Q81/R81)</f>
        <v>0</v>
      </c>
      <c r="T81" s="68">
        <f>SUM(T54:T80)</f>
        <v>0</v>
      </c>
      <c r="U81" s="69">
        <f>SUM(U54:U80)</f>
        <v>0</v>
      </c>
      <c r="V81" s="70">
        <f t="shared" ref="V81" si="99">IF(U81=0,0,T81/U81)</f>
        <v>0</v>
      </c>
      <c r="W81" s="68">
        <f>SUM(W54:W80)</f>
        <v>0</v>
      </c>
      <c r="X81" s="69">
        <f>SUM(X54:X80)</f>
        <v>0</v>
      </c>
      <c r="Y81" s="70">
        <f t="shared" ref="Y81" si="100">IF(X81=0,0,W81/X81)</f>
        <v>0</v>
      </c>
      <c r="Z81" s="68">
        <f>SUM(Z54:Z80)</f>
        <v>0</v>
      </c>
      <c r="AA81" s="69">
        <f>SUM(AA54:AA80)</f>
        <v>0</v>
      </c>
      <c r="AB81" s="70">
        <f t="shared" ref="AB81" si="101">IF(AA81=0,0,Z81/AA81)</f>
        <v>0</v>
      </c>
      <c r="AC81" s="68">
        <f>SUM(AC54:AC80)</f>
        <v>0</v>
      </c>
      <c r="AD81" s="69">
        <f>SUM(AD54:AD80)</f>
        <v>0</v>
      </c>
      <c r="AE81" s="70">
        <f t="shared" ref="AE81" si="102">IF(AD81=0,0,AC81/AD81)</f>
        <v>0</v>
      </c>
      <c r="AF81" s="68">
        <f>SUM(AF54:AF80)</f>
        <v>0</v>
      </c>
      <c r="AG81" s="69">
        <f>SUM(AG54:AG80)</f>
        <v>0</v>
      </c>
      <c r="AH81" s="70">
        <f t="shared" ref="AH81" si="103">IF(AG81=0,0,AF81/AG81)</f>
        <v>0</v>
      </c>
      <c r="AI81" s="68">
        <f>SUM(AI54:AI80)</f>
        <v>0</v>
      </c>
      <c r="AJ81" s="69">
        <f>SUM(AJ54:AJ80)</f>
        <v>0</v>
      </c>
      <c r="AK81" s="70">
        <f t="shared" ref="AK81" si="104">IF(AJ81=0,0,AI81/AJ81)</f>
        <v>0</v>
      </c>
      <c r="AL81" s="68">
        <f>SUM(AL54:AL80)</f>
        <v>0</v>
      </c>
      <c r="AM81" s="69">
        <f>SUM(AM54:AM80)</f>
        <v>0</v>
      </c>
      <c r="AN81" s="70">
        <f t="shared" ref="AN81" si="105">IF(AM81=0,0,AL81/AM81)</f>
        <v>0</v>
      </c>
    </row>
  </sheetData>
  <sheetProtection sheet="1" objects="1" scenarios="1"/>
  <conditionalFormatting sqref="C3:C4 F9:F12">
    <cfRule type="expression" dxfId="980" priority="139">
      <formula>C3="Data Not Entered On Set-Up Worksheet"</formula>
    </cfRule>
  </conditionalFormatting>
  <conditionalFormatting sqref="C9">
    <cfRule type="expression" dxfId="979" priority="138">
      <formula>C9="Data Not Entered On Set-Up Worksheet"</formula>
    </cfRule>
  </conditionalFormatting>
  <conditionalFormatting sqref="C12">
    <cfRule type="expression" dxfId="978" priority="137">
      <formula>C12="Data Not Entered On Set-Up Worksheet"</formula>
    </cfRule>
  </conditionalFormatting>
  <conditionalFormatting sqref="B19:B40 B45">
    <cfRule type="expression" dxfId="977" priority="136">
      <formula>AND($A19&lt;&gt;"",B19="")</formula>
    </cfRule>
  </conditionalFormatting>
  <conditionalFormatting sqref="F3">
    <cfRule type="expression" dxfId="976" priority="135">
      <formula>F3="Data Not Entered On Set-Up Worksheet"</formula>
    </cfRule>
  </conditionalFormatting>
  <conditionalFormatting sqref="I3">
    <cfRule type="expression" dxfId="975" priority="133">
      <formula>I3="Data Not Entered On Set-Up Worksheet"</formula>
    </cfRule>
  </conditionalFormatting>
  <conditionalFormatting sqref="I9">
    <cfRule type="expression" dxfId="974" priority="132">
      <formula>I9="Data Not Entered On Set-Up Worksheet"</formula>
    </cfRule>
  </conditionalFormatting>
  <conditionalFormatting sqref="I11:I12">
    <cfRule type="expression" dxfId="973" priority="131">
      <formula>I11="Data Not Entered On Set-Up Worksheet"</formula>
    </cfRule>
  </conditionalFormatting>
  <conditionalFormatting sqref="L3">
    <cfRule type="expression" dxfId="972" priority="130">
      <formula>L3="Data Not Entered On Set-Up Worksheet"</formula>
    </cfRule>
  </conditionalFormatting>
  <conditionalFormatting sqref="L9">
    <cfRule type="expression" dxfId="971" priority="129">
      <formula>L9="Data Not Entered On Set-Up Worksheet"</formula>
    </cfRule>
  </conditionalFormatting>
  <conditionalFormatting sqref="L11:L12">
    <cfRule type="expression" dxfId="970" priority="128">
      <formula>L11="Data Not Entered On Set-Up Worksheet"</formula>
    </cfRule>
  </conditionalFormatting>
  <conditionalFormatting sqref="O3">
    <cfRule type="expression" dxfId="969" priority="127">
      <formula>O3="Data Not Entered On Set-Up Worksheet"</formula>
    </cfRule>
  </conditionalFormatting>
  <conditionalFormatting sqref="O9">
    <cfRule type="expression" dxfId="968" priority="126">
      <formula>O9="Data Not Entered On Set-Up Worksheet"</formula>
    </cfRule>
  </conditionalFormatting>
  <conditionalFormatting sqref="O11:O12">
    <cfRule type="expression" dxfId="967" priority="125">
      <formula>O11="Data Not Entered On Set-Up Worksheet"</formula>
    </cfRule>
  </conditionalFormatting>
  <conditionalFormatting sqref="R3">
    <cfRule type="expression" dxfId="966" priority="124">
      <formula>R3="Data Not Entered On Set-Up Worksheet"</formula>
    </cfRule>
  </conditionalFormatting>
  <conditionalFormatting sqref="R9">
    <cfRule type="expression" dxfId="965" priority="123">
      <formula>R9="Data Not Entered On Set-Up Worksheet"</formula>
    </cfRule>
  </conditionalFormatting>
  <conditionalFormatting sqref="R11:R12">
    <cfRule type="expression" dxfId="964" priority="122">
      <formula>R11="Data Not Entered On Set-Up Worksheet"</formula>
    </cfRule>
  </conditionalFormatting>
  <conditionalFormatting sqref="U3">
    <cfRule type="expression" dxfId="963" priority="121">
      <formula>U3="Data Not Entered On Set-Up Worksheet"</formula>
    </cfRule>
  </conditionalFormatting>
  <conditionalFormatting sqref="U9">
    <cfRule type="expression" dxfId="962" priority="120">
      <formula>U9="Data Not Entered On Set-Up Worksheet"</formula>
    </cfRule>
  </conditionalFormatting>
  <conditionalFormatting sqref="U11:U12">
    <cfRule type="expression" dxfId="961" priority="119">
      <formula>U11="Data Not Entered On Set-Up Worksheet"</formula>
    </cfRule>
  </conditionalFormatting>
  <conditionalFormatting sqref="AM3">
    <cfRule type="expression" dxfId="960" priority="118">
      <formula>AM3="Data Not Entered On Set-Up Worksheet"</formula>
    </cfRule>
  </conditionalFormatting>
  <conditionalFormatting sqref="AM9">
    <cfRule type="expression" dxfId="959" priority="117">
      <formula>AM9="Data Not Entered On Set-Up Worksheet"</formula>
    </cfRule>
  </conditionalFormatting>
  <conditionalFormatting sqref="AM11:AM12">
    <cfRule type="expression" dxfId="958" priority="116">
      <formula>AM11="Data Not Entered On Set-Up Worksheet"</formula>
    </cfRule>
  </conditionalFormatting>
  <conditionalFormatting sqref="E19:E40 E45">
    <cfRule type="expression" dxfId="957" priority="115">
      <formula>AND($A19&lt;&gt;"",E19="")</formula>
    </cfRule>
  </conditionalFormatting>
  <conditionalFormatting sqref="H19:H40 H45">
    <cfRule type="expression" dxfId="956" priority="114">
      <formula>AND($A19&lt;&gt;"",H19="")</formula>
    </cfRule>
  </conditionalFormatting>
  <conditionalFormatting sqref="N19:N40 N45">
    <cfRule type="expression" dxfId="955" priority="113">
      <formula>AND($A19&lt;&gt;"",N19="")</formula>
    </cfRule>
  </conditionalFormatting>
  <conditionalFormatting sqref="Q19:Q40 Q45">
    <cfRule type="expression" dxfId="954" priority="112">
      <formula>AND($A19&lt;&gt;"",Q19="")</formula>
    </cfRule>
  </conditionalFormatting>
  <conditionalFormatting sqref="T19:T40 T45">
    <cfRule type="expression" dxfId="953" priority="111">
      <formula>AND($A19&lt;&gt;"",T19="")</formula>
    </cfRule>
  </conditionalFormatting>
  <conditionalFormatting sqref="C11">
    <cfRule type="expression" dxfId="952" priority="110">
      <formula>C11="Data Not Entered On Set-Up Worksheet"</formula>
    </cfRule>
  </conditionalFormatting>
  <conditionalFormatting sqref="X3">
    <cfRule type="expression" dxfId="951" priority="109">
      <formula>X3="Data Not Entered On Set-Up Worksheet"</formula>
    </cfRule>
  </conditionalFormatting>
  <conditionalFormatting sqref="X9">
    <cfRule type="expression" dxfId="950" priority="108">
      <formula>X9="Data Not Entered On Set-Up Worksheet"</formula>
    </cfRule>
  </conditionalFormatting>
  <conditionalFormatting sqref="X11:X12">
    <cfRule type="expression" dxfId="949" priority="107">
      <formula>X11="Data Not Entered On Set-Up Worksheet"</formula>
    </cfRule>
  </conditionalFormatting>
  <conditionalFormatting sqref="AA3">
    <cfRule type="expression" dxfId="948" priority="106">
      <formula>AA3="Data Not Entered On Set-Up Worksheet"</formula>
    </cfRule>
  </conditionalFormatting>
  <conditionalFormatting sqref="AA9">
    <cfRule type="expression" dxfId="947" priority="105">
      <formula>AA9="Data Not Entered On Set-Up Worksheet"</formula>
    </cfRule>
  </conditionalFormatting>
  <conditionalFormatting sqref="AA11:AA12">
    <cfRule type="expression" dxfId="946" priority="104">
      <formula>AA11="Data Not Entered On Set-Up Worksheet"</formula>
    </cfRule>
  </conditionalFormatting>
  <conditionalFormatting sqref="AD3">
    <cfRule type="expression" dxfId="945" priority="103">
      <formula>AD3="Data Not Entered On Set-Up Worksheet"</formula>
    </cfRule>
  </conditionalFormatting>
  <conditionalFormatting sqref="AD9">
    <cfRule type="expression" dxfId="944" priority="102">
      <formula>AD9="Data Not Entered On Set-Up Worksheet"</formula>
    </cfRule>
  </conditionalFormatting>
  <conditionalFormatting sqref="AD11:AD12">
    <cfRule type="expression" dxfId="943" priority="101">
      <formula>AD11="Data Not Entered On Set-Up Worksheet"</formula>
    </cfRule>
  </conditionalFormatting>
  <conditionalFormatting sqref="AG3">
    <cfRule type="expression" dxfId="942" priority="100">
      <formula>AG3="Data Not Entered On Set-Up Worksheet"</formula>
    </cfRule>
  </conditionalFormatting>
  <conditionalFormatting sqref="AG9">
    <cfRule type="expression" dxfId="941" priority="99">
      <formula>AG9="Data Not Entered On Set-Up Worksheet"</formula>
    </cfRule>
  </conditionalFormatting>
  <conditionalFormatting sqref="AG11:AG12">
    <cfRule type="expression" dxfId="940" priority="98">
      <formula>AG11="Data Not Entered On Set-Up Worksheet"</formula>
    </cfRule>
  </conditionalFormatting>
  <conditionalFormatting sqref="Z19:Z40 Z45">
    <cfRule type="expression" dxfId="939" priority="97">
      <formula>AND($A19&lt;&gt;"",Z19="")</formula>
    </cfRule>
  </conditionalFormatting>
  <conditionalFormatting sqref="AC19:AC40 AC45">
    <cfRule type="expression" dxfId="938" priority="96">
      <formula>AND($A19&lt;&gt;"",AC19="")</formula>
    </cfRule>
  </conditionalFormatting>
  <conditionalFormatting sqref="AF19:AF40 AF45">
    <cfRule type="expression" dxfId="937" priority="95">
      <formula>AND($A19&lt;&gt;"",AF19="")</formula>
    </cfRule>
  </conditionalFormatting>
  <conditionalFormatting sqref="AJ3">
    <cfRule type="expression" dxfId="936" priority="94">
      <formula>AJ3="Data Not Entered On Set-Up Worksheet"</formula>
    </cfRule>
  </conditionalFormatting>
  <conditionalFormatting sqref="AJ9">
    <cfRule type="expression" dxfId="935" priority="93">
      <formula>AJ9="Data Not Entered On Set-Up Worksheet"</formula>
    </cfRule>
  </conditionalFormatting>
  <conditionalFormatting sqref="AJ11:AJ12">
    <cfRule type="expression" dxfId="934" priority="92">
      <formula>AJ11="Data Not Entered On Set-Up Worksheet"</formula>
    </cfRule>
  </conditionalFormatting>
  <conditionalFormatting sqref="B54:B75 B80">
    <cfRule type="expression" dxfId="933" priority="91">
      <formula>AND($A54&lt;&gt;"",B54="")</formula>
    </cfRule>
  </conditionalFormatting>
  <conditionalFormatting sqref="E54:E75 E80">
    <cfRule type="expression" dxfId="932" priority="90">
      <formula>AND($A54&lt;&gt;"",E54="")</formula>
    </cfRule>
  </conditionalFormatting>
  <conditionalFormatting sqref="H54:H75 H80">
    <cfRule type="expression" dxfId="931" priority="89">
      <formula>AND($A54&lt;&gt;"",H54="")</formula>
    </cfRule>
  </conditionalFormatting>
  <conditionalFormatting sqref="N54:N75 N80">
    <cfRule type="expression" dxfId="930" priority="88">
      <formula>AND($A54&lt;&gt;"",N54="")</formula>
    </cfRule>
  </conditionalFormatting>
  <conditionalFormatting sqref="Q54:Q75 Q80">
    <cfRule type="expression" dxfId="929" priority="87">
      <formula>AND($A54&lt;&gt;"",Q54="")</formula>
    </cfRule>
  </conditionalFormatting>
  <conditionalFormatting sqref="T54:T75 T80">
    <cfRule type="expression" dxfId="928" priority="86">
      <formula>AND($A54&lt;&gt;"",T54="")</formula>
    </cfRule>
  </conditionalFormatting>
  <conditionalFormatting sqref="Z54:Z75 Z80">
    <cfRule type="expression" dxfId="927" priority="85">
      <formula>AND($A54&lt;&gt;"",Z54="")</formula>
    </cfRule>
  </conditionalFormatting>
  <conditionalFormatting sqref="AC54:AC75 AC80">
    <cfRule type="expression" dxfId="926" priority="84">
      <formula>AND($A54&lt;&gt;"",AC54="")</formula>
    </cfRule>
  </conditionalFormatting>
  <conditionalFormatting sqref="AF54:AF75 AF80">
    <cfRule type="expression" dxfId="925" priority="83">
      <formula>AND($A54&lt;&gt;"",AF54="")</formula>
    </cfRule>
  </conditionalFormatting>
  <conditionalFormatting sqref="AL19:AL40 AL45">
    <cfRule type="expression" dxfId="924" priority="82">
      <formula>AND($A19&lt;&gt;"",AL19="")</formula>
    </cfRule>
  </conditionalFormatting>
  <conditionalFormatting sqref="AL54:AL75 AL80">
    <cfRule type="expression" dxfId="923" priority="81">
      <formula>AND($A54&lt;&gt;"",AL54="")</formula>
    </cfRule>
  </conditionalFormatting>
  <conditionalFormatting sqref="B41">
    <cfRule type="expression" dxfId="922" priority="80">
      <formula>AND($A41&lt;&gt;"",B41="")</formula>
    </cfRule>
  </conditionalFormatting>
  <conditionalFormatting sqref="E41">
    <cfRule type="expression" dxfId="921" priority="79">
      <formula>AND($A41&lt;&gt;"",E41="")</formula>
    </cfRule>
  </conditionalFormatting>
  <conditionalFormatting sqref="H41">
    <cfRule type="expression" dxfId="920" priority="78">
      <formula>AND($A41&lt;&gt;"",H41="")</formula>
    </cfRule>
  </conditionalFormatting>
  <conditionalFormatting sqref="N41">
    <cfRule type="expression" dxfId="919" priority="77">
      <formula>AND($A41&lt;&gt;"",N41="")</formula>
    </cfRule>
  </conditionalFormatting>
  <conditionalFormatting sqref="Q41">
    <cfRule type="expression" dxfId="918" priority="76">
      <formula>AND($A41&lt;&gt;"",Q41="")</formula>
    </cfRule>
  </conditionalFormatting>
  <conditionalFormatting sqref="T41">
    <cfRule type="expression" dxfId="917" priority="75">
      <formula>AND($A41&lt;&gt;"",T41="")</formula>
    </cfRule>
  </conditionalFormatting>
  <conditionalFormatting sqref="Z41">
    <cfRule type="expression" dxfId="916" priority="74">
      <formula>AND($A41&lt;&gt;"",Z41="")</formula>
    </cfRule>
  </conditionalFormatting>
  <conditionalFormatting sqref="AC41">
    <cfRule type="expression" dxfId="915" priority="73">
      <formula>AND($A41&lt;&gt;"",AC41="")</formula>
    </cfRule>
  </conditionalFormatting>
  <conditionalFormatting sqref="AF41">
    <cfRule type="expression" dxfId="914" priority="72">
      <formula>AND($A41&lt;&gt;"",AF41="")</formula>
    </cfRule>
  </conditionalFormatting>
  <conditionalFormatting sqref="AL41">
    <cfRule type="expression" dxfId="913" priority="71">
      <formula>AND($A41&lt;&gt;"",AL41="")</formula>
    </cfRule>
  </conditionalFormatting>
  <conditionalFormatting sqref="B76">
    <cfRule type="expression" dxfId="912" priority="70">
      <formula>AND($A76&lt;&gt;"",B76="")</formula>
    </cfRule>
  </conditionalFormatting>
  <conditionalFormatting sqref="E76">
    <cfRule type="expression" dxfId="911" priority="69">
      <formula>AND($A76&lt;&gt;"",E76="")</formula>
    </cfRule>
  </conditionalFormatting>
  <conditionalFormatting sqref="H76">
    <cfRule type="expression" dxfId="910" priority="68">
      <formula>AND($A76&lt;&gt;"",H76="")</formula>
    </cfRule>
  </conditionalFormatting>
  <conditionalFormatting sqref="N76">
    <cfRule type="expression" dxfId="909" priority="67">
      <formula>AND($A76&lt;&gt;"",N76="")</formula>
    </cfRule>
  </conditionalFormatting>
  <conditionalFormatting sqref="Q76">
    <cfRule type="expression" dxfId="908" priority="66">
      <formula>AND($A76&lt;&gt;"",Q76="")</formula>
    </cfRule>
  </conditionalFormatting>
  <conditionalFormatting sqref="T76">
    <cfRule type="expression" dxfId="907" priority="65">
      <formula>AND($A76&lt;&gt;"",T76="")</formula>
    </cfRule>
  </conditionalFormatting>
  <conditionalFormatting sqref="Z76">
    <cfRule type="expression" dxfId="906" priority="64">
      <formula>AND($A76&lt;&gt;"",Z76="")</formula>
    </cfRule>
  </conditionalFormatting>
  <conditionalFormatting sqref="AC76">
    <cfRule type="expression" dxfId="905" priority="63">
      <formula>AND($A76&lt;&gt;"",AC76="")</formula>
    </cfRule>
  </conditionalFormatting>
  <conditionalFormatting sqref="AF76">
    <cfRule type="expression" dxfId="904" priority="62">
      <formula>AND($A76&lt;&gt;"",AF76="")</formula>
    </cfRule>
  </conditionalFormatting>
  <conditionalFormatting sqref="AL76">
    <cfRule type="expression" dxfId="903" priority="61">
      <formula>AND($A76&lt;&gt;"",AL76="")</formula>
    </cfRule>
  </conditionalFormatting>
  <conditionalFormatting sqref="B42">
    <cfRule type="expression" dxfId="902" priority="60">
      <formula>AND($A42&lt;&gt;"",B42="")</formula>
    </cfRule>
  </conditionalFormatting>
  <conditionalFormatting sqref="E42">
    <cfRule type="expression" dxfId="901" priority="59">
      <formula>AND($A42&lt;&gt;"",E42="")</formula>
    </cfRule>
  </conditionalFormatting>
  <conditionalFormatting sqref="H42">
    <cfRule type="expression" dxfId="900" priority="58">
      <formula>AND($A42&lt;&gt;"",H42="")</formula>
    </cfRule>
  </conditionalFormatting>
  <conditionalFormatting sqref="N42">
    <cfRule type="expression" dxfId="899" priority="57">
      <formula>AND($A42&lt;&gt;"",N42="")</formula>
    </cfRule>
  </conditionalFormatting>
  <conditionalFormatting sqref="Q42">
    <cfRule type="expression" dxfId="898" priority="56">
      <formula>AND($A42&lt;&gt;"",Q42="")</formula>
    </cfRule>
  </conditionalFormatting>
  <conditionalFormatting sqref="T42">
    <cfRule type="expression" dxfId="897" priority="55">
      <formula>AND($A42&lt;&gt;"",T42="")</formula>
    </cfRule>
  </conditionalFormatting>
  <conditionalFormatting sqref="Z42">
    <cfRule type="expression" dxfId="896" priority="54">
      <formula>AND($A42&lt;&gt;"",Z42="")</formula>
    </cfRule>
  </conditionalFormatting>
  <conditionalFormatting sqref="AC42">
    <cfRule type="expression" dxfId="895" priority="53">
      <formula>AND($A42&lt;&gt;"",AC42="")</formula>
    </cfRule>
  </conditionalFormatting>
  <conditionalFormatting sqref="AF42">
    <cfRule type="expression" dxfId="894" priority="52">
      <formula>AND($A42&lt;&gt;"",AF42="")</formula>
    </cfRule>
  </conditionalFormatting>
  <conditionalFormatting sqref="AL42">
    <cfRule type="expression" dxfId="893" priority="51">
      <formula>AND($A42&lt;&gt;"",AL42="")</formula>
    </cfRule>
  </conditionalFormatting>
  <conditionalFormatting sqref="B77">
    <cfRule type="expression" dxfId="892" priority="50">
      <formula>AND($A77&lt;&gt;"",B77="")</formula>
    </cfRule>
  </conditionalFormatting>
  <conditionalFormatting sqref="E77">
    <cfRule type="expression" dxfId="891" priority="49">
      <formula>AND($A77&lt;&gt;"",E77="")</formula>
    </cfRule>
  </conditionalFormatting>
  <conditionalFormatting sqref="H77">
    <cfRule type="expression" dxfId="890" priority="48">
      <formula>AND($A77&lt;&gt;"",H77="")</formula>
    </cfRule>
  </conditionalFormatting>
  <conditionalFormatting sqref="N77">
    <cfRule type="expression" dxfId="889" priority="47">
      <formula>AND($A77&lt;&gt;"",N77="")</formula>
    </cfRule>
  </conditionalFormatting>
  <conditionalFormatting sqref="Q77">
    <cfRule type="expression" dxfId="888" priority="46">
      <formula>AND($A77&lt;&gt;"",Q77="")</formula>
    </cfRule>
  </conditionalFormatting>
  <conditionalFormatting sqref="T77">
    <cfRule type="expression" dxfId="887" priority="45">
      <formula>AND($A77&lt;&gt;"",T77="")</formula>
    </cfRule>
  </conditionalFormatting>
  <conditionalFormatting sqref="Z77">
    <cfRule type="expression" dxfId="886" priority="44">
      <formula>AND($A77&lt;&gt;"",Z77="")</formula>
    </cfRule>
  </conditionalFormatting>
  <conditionalFormatting sqref="AC77">
    <cfRule type="expression" dxfId="885" priority="43">
      <formula>AND($A77&lt;&gt;"",AC77="")</formula>
    </cfRule>
  </conditionalFormatting>
  <conditionalFormatting sqref="AF77">
    <cfRule type="expression" dxfId="884" priority="42">
      <formula>AND($A77&lt;&gt;"",AF77="")</formula>
    </cfRule>
  </conditionalFormatting>
  <conditionalFormatting sqref="AL77">
    <cfRule type="expression" dxfId="883" priority="41">
      <formula>AND($A77&lt;&gt;"",AL77="")</formula>
    </cfRule>
  </conditionalFormatting>
  <conditionalFormatting sqref="B43">
    <cfRule type="expression" dxfId="882" priority="40">
      <formula>AND($A43&lt;&gt;"",B43="")</formula>
    </cfRule>
  </conditionalFormatting>
  <conditionalFormatting sqref="E43">
    <cfRule type="expression" dxfId="881" priority="39">
      <formula>AND($A43&lt;&gt;"",E43="")</formula>
    </cfRule>
  </conditionalFormatting>
  <conditionalFormatting sqref="H43">
    <cfRule type="expression" dxfId="880" priority="38">
      <formula>AND($A43&lt;&gt;"",H43="")</formula>
    </cfRule>
  </conditionalFormatting>
  <conditionalFormatting sqref="N43">
    <cfRule type="expression" dxfId="879" priority="37">
      <formula>AND($A43&lt;&gt;"",N43="")</formula>
    </cfRule>
  </conditionalFormatting>
  <conditionalFormatting sqref="Q43">
    <cfRule type="expression" dxfId="878" priority="36">
      <formula>AND($A43&lt;&gt;"",Q43="")</formula>
    </cfRule>
  </conditionalFormatting>
  <conditionalFormatting sqref="T43">
    <cfRule type="expression" dxfId="877" priority="35">
      <formula>AND($A43&lt;&gt;"",T43="")</formula>
    </cfRule>
  </conditionalFormatting>
  <conditionalFormatting sqref="Z43">
    <cfRule type="expression" dxfId="876" priority="34">
      <formula>AND($A43&lt;&gt;"",Z43="")</formula>
    </cfRule>
  </conditionalFormatting>
  <conditionalFormatting sqref="AC43">
    <cfRule type="expression" dxfId="875" priority="33">
      <formula>AND($A43&lt;&gt;"",AC43="")</formula>
    </cfRule>
  </conditionalFormatting>
  <conditionalFormatting sqref="AF43">
    <cfRule type="expression" dxfId="874" priority="32">
      <formula>AND($A43&lt;&gt;"",AF43="")</formula>
    </cfRule>
  </conditionalFormatting>
  <conditionalFormatting sqref="AL43">
    <cfRule type="expression" dxfId="873" priority="31">
      <formula>AND($A43&lt;&gt;"",AL43="")</formula>
    </cfRule>
  </conditionalFormatting>
  <conditionalFormatting sqref="B78">
    <cfRule type="expression" dxfId="872" priority="30">
      <formula>AND($A78&lt;&gt;"",B78="")</formula>
    </cfRule>
  </conditionalFormatting>
  <conditionalFormatting sqref="E78">
    <cfRule type="expression" dxfId="871" priority="29">
      <formula>AND($A78&lt;&gt;"",E78="")</formula>
    </cfRule>
  </conditionalFormatting>
  <conditionalFormatting sqref="H78">
    <cfRule type="expression" dxfId="870" priority="28">
      <formula>AND($A78&lt;&gt;"",H78="")</formula>
    </cfRule>
  </conditionalFormatting>
  <conditionalFormatting sqref="N78">
    <cfRule type="expression" dxfId="869" priority="27">
      <formula>AND($A78&lt;&gt;"",N78="")</formula>
    </cfRule>
  </conditionalFormatting>
  <conditionalFormatting sqref="Q78">
    <cfRule type="expression" dxfId="868" priority="26">
      <formula>AND($A78&lt;&gt;"",Q78="")</formula>
    </cfRule>
  </conditionalFormatting>
  <conditionalFormatting sqref="T78">
    <cfRule type="expression" dxfId="867" priority="25">
      <formula>AND($A78&lt;&gt;"",T78="")</formula>
    </cfRule>
  </conditionalFormatting>
  <conditionalFormatting sqref="Z78">
    <cfRule type="expression" dxfId="866" priority="24">
      <formula>AND($A78&lt;&gt;"",Z78="")</formula>
    </cfRule>
  </conditionalFormatting>
  <conditionalFormatting sqref="AC78">
    <cfRule type="expression" dxfId="865" priority="23">
      <formula>AND($A78&lt;&gt;"",AC78="")</formula>
    </cfRule>
  </conditionalFormatting>
  <conditionalFormatting sqref="AF78">
    <cfRule type="expression" dxfId="864" priority="22">
      <formula>AND($A78&lt;&gt;"",AF78="")</formula>
    </cfRule>
  </conditionalFormatting>
  <conditionalFormatting sqref="AL78">
    <cfRule type="expression" dxfId="863" priority="21">
      <formula>AND($A78&lt;&gt;"",AL78="")</formula>
    </cfRule>
  </conditionalFormatting>
  <conditionalFormatting sqref="B44">
    <cfRule type="expression" dxfId="862" priority="20">
      <formula>AND($A44&lt;&gt;"",B44="")</formula>
    </cfRule>
  </conditionalFormatting>
  <conditionalFormatting sqref="E44">
    <cfRule type="expression" dxfId="861" priority="19">
      <formula>AND($A44&lt;&gt;"",E44="")</formula>
    </cfRule>
  </conditionalFormatting>
  <conditionalFormatting sqref="H44">
    <cfRule type="expression" dxfId="860" priority="18">
      <formula>AND($A44&lt;&gt;"",H44="")</formula>
    </cfRule>
  </conditionalFormatting>
  <conditionalFormatting sqref="N44">
    <cfRule type="expression" dxfId="859" priority="17">
      <formula>AND($A44&lt;&gt;"",N44="")</formula>
    </cfRule>
  </conditionalFormatting>
  <conditionalFormatting sqref="Q44">
    <cfRule type="expression" dxfId="858" priority="16">
      <formula>AND($A44&lt;&gt;"",Q44="")</formula>
    </cfRule>
  </conditionalFormatting>
  <conditionalFormatting sqref="T44">
    <cfRule type="expression" dxfId="857" priority="15">
      <formula>AND($A44&lt;&gt;"",T44="")</formula>
    </cfRule>
  </conditionalFormatting>
  <conditionalFormatting sqref="Z44">
    <cfRule type="expression" dxfId="856" priority="14">
      <formula>AND($A44&lt;&gt;"",Z44="")</formula>
    </cfRule>
  </conditionalFormatting>
  <conditionalFormatting sqref="AC44">
    <cfRule type="expression" dxfId="855" priority="13">
      <formula>AND($A44&lt;&gt;"",AC44="")</formula>
    </cfRule>
  </conditionalFormatting>
  <conditionalFormatting sqref="AF44">
    <cfRule type="expression" dxfId="854" priority="12">
      <formula>AND($A44&lt;&gt;"",AF44="")</formula>
    </cfRule>
  </conditionalFormatting>
  <conditionalFormatting sqref="AL44">
    <cfRule type="expression" dxfId="853" priority="11">
      <formula>AND($A44&lt;&gt;"",AL44="")</formula>
    </cfRule>
  </conditionalFormatting>
  <conditionalFormatting sqref="B79">
    <cfRule type="expression" dxfId="852" priority="10">
      <formula>AND($A79&lt;&gt;"",B79="")</formula>
    </cfRule>
  </conditionalFormatting>
  <conditionalFormatting sqref="E79">
    <cfRule type="expression" dxfId="851" priority="9">
      <formula>AND($A79&lt;&gt;"",E79="")</formula>
    </cfRule>
  </conditionalFormatting>
  <conditionalFormatting sqref="H79">
    <cfRule type="expression" dxfId="850" priority="8">
      <formula>AND($A79&lt;&gt;"",H79="")</formula>
    </cfRule>
  </conditionalFormatting>
  <conditionalFormatting sqref="N79">
    <cfRule type="expression" dxfId="849" priority="7">
      <formula>AND($A79&lt;&gt;"",N79="")</formula>
    </cfRule>
  </conditionalFormatting>
  <conditionalFormatting sqref="Q79">
    <cfRule type="expression" dxfId="848" priority="6">
      <formula>AND($A79&lt;&gt;"",Q79="")</formula>
    </cfRule>
  </conditionalFormatting>
  <conditionalFormatting sqref="T79">
    <cfRule type="expression" dxfId="847" priority="5">
      <formula>AND($A79&lt;&gt;"",T79="")</formula>
    </cfRule>
  </conditionalFormatting>
  <conditionalFormatting sqref="Z79">
    <cfRule type="expression" dxfId="846" priority="4">
      <formula>AND($A79&lt;&gt;"",Z79="")</formula>
    </cfRule>
  </conditionalFormatting>
  <conditionalFormatting sqref="AC79">
    <cfRule type="expression" dxfId="845" priority="3">
      <formula>AND($A79&lt;&gt;"",AC79="")</formula>
    </cfRule>
  </conditionalFormatting>
  <conditionalFormatting sqref="AF79">
    <cfRule type="expression" dxfId="844" priority="2">
      <formula>AND($A79&lt;&gt;"",AF79="")</formula>
    </cfRule>
  </conditionalFormatting>
  <conditionalFormatting sqref="AL79">
    <cfRule type="expression" dxfId="843" priority="1">
      <formula>AND($A79&lt;&gt;"",AL79="")</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7" max="16383" man="1"/>
  </rowBreaks>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F3" sqref="F3"/>
    </sheetView>
  </sheetViews>
  <sheetFormatPr defaultRowHeight="12.75"/>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c r="A1" s="35" t="s">
        <v>23</v>
      </c>
      <c r="I1" s="35" t="s">
        <v>254</v>
      </c>
      <c r="P1" s="35" t="s">
        <v>254</v>
      </c>
    </row>
    <row r="2" spans="1:23" ht="15" customHeight="1">
      <c r="A2" s="35" t="s">
        <v>187</v>
      </c>
      <c r="I2" s="247" t="s">
        <v>255</v>
      </c>
      <c r="P2" s="247" t="s">
        <v>255</v>
      </c>
    </row>
    <row r="3" spans="1:23" ht="15" customHeight="1">
      <c r="A3" s="30" t="s">
        <v>185</v>
      </c>
      <c r="C3" s="138">
        <f>IF('Set-Up Worksheet'!F3="","Data Not Entered On Set-Up Worksheet",'Set-Up Worksheet'!F3)</f>
        <v>2021</v>
      </c>
      <c r="D3" s="138"/>
      <c r="E3" s="37"/>
      <c r="F3" s="37"/>
      <c r="J3" s="138">
        <f t="shared" ref="J3:J4" si="0">C3</f>
        <v>2021</v>
      </c>
      <c r="K3" s="138"/>
      <c r="L3" s="37"/>
      <c r="M3" s="37"/>
      <c r="Q3" s="138">
        <f t="shared" ref="Q3:Q4" si="1">C3</f>
        <v>2021</v>
      </c>
      <c r="R3" s="138"/>
      <c r="S3" s="37"/>
      <c r="T3" s="37"/>
    </row>
    <row r="4" spans="1:23" ht="15" customHeight="1">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c r="A5" s="30"/>
      <c r="C5" s="32"/>
      <c r="D5" s="32"/>
      <c r="E5" s="32"/>
      <c r="F5" s="32"/>
      <c r="J5" s="32"/>
      <c r="K5" s="32"/>
      <c r="L5" s="32"/>
      <c r="M5" s="32"/>
      <c r="Q5" s="32"/>
      <c r="R5" s="32"/>
      <c r="S5" s="32"/>
      <c r="T5" s="32"/>
    </row>
    <row r="6" spans="1:23" ht="15" customHeight="1">
      <c r="A6" s="30" t="s">
        <v>234</v>
      </c>
      <c r="C6" s="32"/>
      <c r="D6" s="32"/>
      <c r="E6" s="32"/>
      <c r="F6" s="32"/>
      <c r="I6" s="30" t="s">
        <v>256</v>
      </c>
      <c r="J6" s="32"/>
      <c r="K6" s="32"/>
      <c r="L6" s="32"/>
      <c r="M6" s="32"/>
      <c r="P6" s="30" t="s">
        <v>256</v>
      </c>
      <c r="Q6" s="32"/>
      <c r="R6" s="32"/>
      <c r="S6" s="32"/>
      <c r="T6" s="32"/>
    </row>
    <row r="7" spans="1:23" ht="15" customHeight="1">
      <c r="A7" s="30" t="s">
        <v>250</v>
      </c>
      <c r="C7" s="32"/>
      <c r="D7" s="32"/>
      <c r="E7" s="32"/>
      <c r="F7" s="32"/>
      <c r="I7" s="30" t="s">
        <v>338</v>
      </c>
      <c r="J7" s="32"/>
      <c r="K7" s="32"/>
      <c r="L7" s="32"/>
      <c r="M7" s="32"/>
      <c r="P7" s="30" t="s">
        <v>338</v>
      </c>
      <c r="Q7" s="32"/>
      <c r="R7" s="32"/>
      <c r="S7" s="32"/>
      <c r="T7" s="32"/>
    </row>
    <row r="8" spans="1:23" ht="15" customHeight="1">
      <c r="A8" s="30"/>
      <c r="C8" s="32"/>
      <c r="D8" s="32"/>
      <c r="E8" s="32"/>
      <c r="F8" s="32"/>
      <c r="J8" s="32"/>
      <c r="K8" s="32"/>
      <c r="L8" s="32"/>
      <c r="M8" s="32"/>
      <c r="Q8" s="32"/>
      <c r="R8" s="32"/>
      <c r="S8" s="32"/>
      <c r="T8" s="32"/>
    </row>
    <row r="9" spans="1:23" ht="15" customHeight="1">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c r="A11" s="30" t="s">
        <v>188</v>
      </c>
      <c r="C11" s="39" t="str">
        <f>IF(C4="Data Not Entered On Set-Up Worksheet","Data Not Entered On Set-Up Worksheet",IF(C4="1st Quarter",'Report Schedule'!D16,IF(C4="2nd Quarter",'Report Schedule'!E16,IF(C4="3rd Quarter",'Report Schedule'!F16,IF(C4="4th Quarter",'Report Schedule'!G16,"")))))</f>
        <v>Apr - Jun 2020</v>
      </c>
      <c r="D11" s="39"/>
      <c r="E11" s="206" t="str">
        <f>IF(COUNTA(B17:F19)&lt;&gt;15,"Enter data in yellow shaded cells","")</f>
        <v>Enter data in yellow shaded cells</v>
      </c>
      <c r="F11" s="39"/>
      <c r="J11" s="39" t="str">
        <f t="shared" si="2"/>
        <v>Apr - Jun 2020</v>
      </c>
      <c r="K11" s="39"/>
      <c r="L11" s="206" t="str">
        <f>IF(COUNTA(I17:M19)&lt;&gt;15,"Enter data in yellow shaded cells","")</f>
        <v>Enter data in yellow shaded cells</v>
      </c>
      <c r="M11" s="39"/>
      <c r="Q11" s="39" t="str">
        <f t="shared" si="3"/>
        <v>Apr - Jun 2020</v>
      </c>
      <c r="R11" s="39"/>
      <c r="S11" s="206" t="str">
        <f>IF(COUNTA(P17:T19)&lt;&gt;15,"Enter data in yellow shaded cells","")</f>
        <v>Enter data in yellow shaded cells</v>
      </c>
      <c r="T11" s="39"/>
    </row>
    <row r="12" spans="1:23" ht="15" customHeight="1">
      <c r="A12" s="30"/>
      <c r="C12" s="39"/>
      <c r="D12" s="39"/>
      <c r="E12" s="39"/>
      <c r="F12" s="39"/>
      <c r="J12" s="39"/>
      <c r="K12" s="39"/>
      <c r="L12" s="39"/>
      <c r="M12" s="39"/>
      <c r="Q12" s="39"/>
      <c r="R12" s="39"/>
      <c r="S12" s="39"/>
      <c r="T12" s="39"/>
    </row>
    <row r="13" spans="1:23" ht="15" customHeight="1" thickBot="1">
      <c r="A13" s="30"/>
      <c r="C13" s="39"/>
      <c r="D13" s="39"/>
      <c r="E13" s="39"/>
      <c r="F13" s="39"/>
      <c r="J13" s="39"/>
      <c r="K13" s="39"/>
      <c r="L13" s="39"/>
      <c r="M13" s="39"/>
      <c r="Q13" s="39"/>
      <c r="R13" s="39"/>
      <c r="S13" s="39"/>
      <c r="T13" s="39"/>
    </row>
    <row r="14" spans="1:23" ht="18" customHeight="1" thickBot="1">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5" thickBot="1">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5" customHeight="1">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c r="A17" s="261" t="s">
        <v>6</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c r="A18" s="261"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c r="A19" s="262" t="s">
        <v>240</v>
      </c>
      <c r="B19" s="249"/>
      <c r="C19" s="41"/>
      <c r="D19" s="41"/>
      <c r="E19" s="41"/>
      <c r="F19" s="41"/>
      <c r="G19" s="42">
        <f t="shared" ref="G19" si="6">IF($F19=0,0,B19/$F19)</f>
        <v>0</v>
      </c>
      <c r="H19" s="236">
        <f t="shared" ref="H19" si="7">IF($F19=0,0,E19/$F19)</f>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c r="A20" s="262" t="s">
        <v>243</v>
      </c>
      <c r="B20" s="250">
        <f>SUM(B18:B19)</f>
        <v>0</v>
      </c>
      <c r="C20" s="45">
        <f t="shared" ref="C20:F20" si="8">SUM(C18:C19)</f>
        <v>0</v>
      </c>
      <c r="D20" s="45">
        <f t="shared" si="8"/>
        <v>0</v>
      </c>
      <c r="E20" s="45">
        <f t="shared" si="8"/>
        <v>0</v>
      </c>
      <c r="F20" s="45">
        <f t="shared" si="8"/>
        <v>0</v>
      </c>
      <c r="G20" s="42">
        <f t="shared" si="4"/>
        <v>0</v>
      </c>
      <c r="H20" s="236">
        <f t="shared" si="5"/>
        <v>0</v>
      </c>
      <c r="I20" s="268">
        <f>SUM(I18:I19)</f>
        <v>0</v>
      </c>
      <c r="J20" s="45">
        <f t="shared" ref="J20:M20" si="9">SUM(J18:J19)</f>
        <v>0</v>
      </c>
      <c r="K20" s="45">
        <f t="shared" si="9"/>
        <v>0</v>
      </c>
      <c r="L20" s="45">
        <f t="shared" si="9"/>
        <v>0</v>
      </c>
      <c r="M20" s="45">
        <f t="shared" si="9"/>
        <v>0</v>
      </c>
      <c r="N20" s="42">
        <f>IF($M20=0,0,I20/$M20)</f>
        <v>0</v>
      </c>
      <c r="O20" s="236">
        <f>IF($M20=0,0,L20/$M20)</f>
        <v>0</v>
      </c>
      <c r="P20" s="268">
        <f>SUM(P18:P19)</f>
        <v>0</v>
      </c>
      <c r="Q20" s="45">
        <f t="shared" ref="Q20:T20" si="10">SUM(Q18:Q19)</f>
        <v>0</v>
      </c>
      <c r="R20" s="45">
        <f t="shared" si="10"/>
        <v>0</v>
      </c>
      <c r="S20" s="45">
        <f t="shared" si="10"/>
        <v>0</v>
      </c>
      <c r="T20" s="45">
        <f t="shared" si="10"/>
        <v>0</v>
      </c>
      <c r="U20" s="42">
        <f>IF($T20=0,0,P20/$T20)</f>
        <v>0</v>
      </c>
      <c r="V20" s="236">
        <f>IF($T20=0,0,S20/$T20)</f>
        <v>0</v>
      </c>
    </row>
    <row r="21" spans="1:23" ht="36" customHeight="1" thickBot="1">
      <c r="A21" s="263" t="s">
        <v>32</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c r="C22" s="43"/>
      <c r="D22" s="43"/>
      <c r="E22" s="43"/>
      <c r="F22" s="43"/>
      <c r="J22" s="43"/>
      <c r="K22" s="43"/>
      <c r="L22" s="43"/>
      <c r="M22" s="43"/>
      <c r="Q22" s="43"/>
      <c r="R22" s="43"/>
      <c r="S22" s="43"/>
      <c r="T22" s="43"/>
    </row>
    <row r="24" spans="1:23" s="57" customFormat="1">
      <c r="B24" s="57" t="s">
        <v>373</v>
      </c>
      <c r="I24" s="57" t="s">
        <v>374</v>
      </c>
      <c r="P24" s="57" t="s">
        <v>375</v>
      </c>
    </row>
  </sheetData>
  <sheetProtection sheet="1" objects="1" scenarios="1"/>
  <phoneticPr fontId="11" type="noConversion"/>
  <conditionalFormatting sqref="C3:F3 C9:E9 C12:F13 C4:E4 F11">
    <cfRule type="expression" dxfId="842" priority="21">
      <formula>C3="Data Not Entered On Set-Up Worksheet"</formula>
    </cfRule>
  </conditionalFormatting>
  <conditionalFormatting sqref="B17:F19">
    <cfRule type="cellIs" dxfId="841" priority="18" operator="equal">
      <formula>""</formula>
    </cfRule>
  </conditionalFormatting>
  <conditionalFormatting sqref="C11:D11">
    <cfRule type="expression" dxfId="840" priority="17">
      <formula>C11="Data Not Entered On Set-Up Worksheet"</formula>
    </cfRule>
  </conditionalFormatting>
  <conditionalFormatting sqref="J3:M3 J9:L9 J12:M13 J4:L4 M11">
    <cfRule type="expression" dxfId="839" priority="10">
      <formula>J3="Data Not Entered On Set-Up Worksheet"</formula>
    </cfRule>
  </conditionalFormatting>
  <conditionalFormatting sqref="I17:M19">
    <cfRule type="cellIs" dxfId="838" priority="9" operator="equal">
      <formula>""</formula>
    </cfRule>
  </conditionalFormatting>
  <conditionalFormatting sqref="J11:K11">
    <cfRule type="expression" dxfId="837" priority="8">
      <formula>J11="Data Not Entered On Set-Up Worksheet"</formula>
    </cfRule>
  </conditionalFormatting>
  <conditionalFormatting sqref="Q3:T3 Q9:S9 Q12:T13 Q4:S4 T11">
    <cfRule type="expression" dxfId="836" priority="5">
      <formula>Q3="Data Not Entered On Set-Up Worksheet"</formula>
    </cfRule>
  </conditionalFormatting>
  <conditionalFormatting sqref="P17:T19">
    <cfRule type="cellIs" dxfId="835" priority="4" operator="equal">
      <formula>""</formula>
    </cfRule>
  </conditionalFormatting>
  <conditionalFormatting sqref="Q11:R11">
    <cfRule type="expression" dxfId="834"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pageSetUpPr fitToPage="1"/>
  </sheetPr>
  <dimension ref="A1:AH46"/>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c r="A1" s="35" t="s">
        <v>23</v>
      </c>
      <c r="I1" s="30" t="s">
        <v>254</v>
      </c>
      <c r="P1" s="30" t="s">
        <v>254</v>
      </c>
    </row>
    <row r="2" spans="1:34" ht="15" customHeight="1">
      <c r="A2" s="35" t="s">
        <v>187</v>
      </c>
      <c r="I2" s="214" t="s">
        <v>255</v>
      </c>
      <c r="P2" s="214" t="s">
        <v>255</v>
      </c>
    </row>
    <row r="3" spans="1:34" ht="15" customHeight="1">
      <c r="A3" s="30" t="s">
        <v>185</v>
      </c>
      <c r="C3" s="138">
        <f>IF('Set-Up Worksheet'!F3="","Data Not Entered On Set-Up Worksheet",'Set-Up Worksheet'!F3)</f>
        <v>2021</v>
      </c>
      <c r="G3" s="138"/>
      <c r="J3" s="138">
        <f t="shared" ref="J3:J11" si="0">C3</f>
        <v>2021</v>
      </c>
      <c r="N3" s="138"/>
      <c r="Q3" s="138">
        <f t="shared" ref="Q3:Q11" si="1">C3</f>
        <v>2021</v>
      </c>
      <c r="U3" s="138"/>
    </row>
    <row r="4" spans="1:34" ht="15" customHeight="1">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c r="A5" s="30"/>
      <c r="C5" s="32"/>
      <c r="G5" s="32"/>
      <c r="J5" s="38"/>
      <c r="N5" s="32"/>
      <c r="Q5" s="38"/>
      <c r="U5" s="32"/>
    </row>
    <row r="6" spans="1:34" ht="15" customHeight="1">
      <c r="A6" s="30" t="s">
        <v>234</v>
      </c>
      <c r="C6" s="32"/>
      <c r="G6" s="32"/>
      <c r="I6" s="30" t="s">
        <v>256</v>
      </c>
      <c r="J6" s="38"/>
      <c r="N6" s="32"/>
      <c r="P6" s="30" t="s">
        <v>256</v>
      </c>
      <c r="Q6" s="38"/>
      <c r="U6" s="32"/>
    </row>
    <row r="7" spans="1:34" ht="15" customHeight="1">
      <c r="A7" s="30" t="s">
        <v>251</v>
      </c>
      <c r="C7" s="32"/>
      <c r="G7" s="32"/>
      <c r="I7" s="30" t="s">
        <v>257</v>
      </c>
      <c r="J7" s="38"/>
      <c r="N7" s="32"/>
      <c r="P7" s="30" t="s">
        <v>257</v>
      </c>
      <c r="Q7" s="38"/>
      <c r="U7" s="32"/>
    </row>
    <row r="8" spans="1:34" ht="15" customHeight="1">
      <c r="A8" s="30"/>
      <c r="C8" s="32"/>
      <c r="G8" s="32"/>
      <c r="J8" s="38"/>
      <c r="N8" s="32"/>
      <c r="Q8" s="38"/>
      <c r="U8" s="32"/>
      <c r="Z8" s="51"/>
      <c r="AA8" s="51"/>
      <c r="AB8" s="52"/>
      <c r="AC8" s="51"/>
      <c r="AD8" s="51"/>
      <c r="AE8" s="51"/>
      <c r="AF8" s="51"/>
      <c r="AG8" s="30"/>
      <c r="AH8" s="34"/>
    </row>
    <row r="9" spans="1:34" ht="15" customHeight="1">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c r="A10" s="30" t="s">
        <v>9</v>
      </c>
      <c r="C10" s="32" t="s">
        <v>10</v>
      </c>
      <c r="G10" s="32"/>
      <c r="J10" s="38" t="str">
        <f t="shared" si="0"/>
        <v>Behavioral Health</v>
      </c>
      <c r="N10" s="32"/>
      <c r="Q10" s="38" t="str">
        <f t="shared" si="1"/>
        <v>Behavioral Health</v>
      </c>
      <c r="U10" s="32"/>
    </row>
    <row r="11" spans="1:34" ht="15" customHeight="1">
      <c r="A11" s="30" t="s">
        <v>188</v>
      </c>
      <c r="C11" s="39" t="str">
        <f>IF(C4="Data Not Entered On Set-Up Worksheet","Data Not Entered On Set-Up Worksheet",IF(C4="1st Quarter",'Report Schedule'!D16,IF(C4="2nd Quarter",'Report Schedule'!E16,IF(C4="3rd Quarter",'Report Schedule'!F16,IF(C4="4th Quarter",'Report Schedule'!G16,"")))))</f>
        <v>Apr - Jun 2020</v>
      </c>
      <c r="E11" s="76" t="s">
        <v>35</v>
      </c>
      <c r="G11" s="39"/>
      <c r="J11" s="39" t="str">
        <f t="shared" si="0"/>
        <v>Apr - Jun 2020</v>
      </c>
      <c r="L11" s="76"/>
      <c r="N11" s="39"/>
      <c r="Q11" s="39" t="str">
        <f t="shared" si="1"/>
        <v>Apr - Jun 2020</v>
      </c>
      <c r="S11" s="76"/>
      <c r="U11" s="39"/>
    </row>
    <row r="12" spans="1:34" ht="15" customHeight="1">
      <c r="A12" s="30"/>
      <c r="E12" s="76"/>
      <c r="F12" s="39"/>
      <c r="G12" s="39"/>
      <c r="M12" s="39"/>
      <c r="N12" s="39"/>
      <c r="T12" s="39"/>
      <c r="U12" s="39"/>
    </row>
    <row r="13" spans="1:34" ht="13.5" thickBot="1"/>
    <row r="14" spans="1:34" ht="18" customHeight="1" thickBot="1">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5" thickBot="1">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3.75">
      <c r="A16" s="72" t="s">
        <v>38</v>
      </c>
      <c r="B16" s="158" t="s">
        <v>241</v>
      </c>
      <c r="C16" s="156" t="s">
        <v>235</v>
      </c>
      <c r="D16" s="156" t="s">
        <v>237</v>
      </c>
      <c r="E16" s="209" t="s">
        <v>242</v>
      </c>
      <c r="F16" s="156" t="s">
        <v>236</v>
      </c>
      <c r="G16" s="207" t="s">
        <v>239</v>
      </c>
      <c r="H16" s="157" t="s">
        <v>238</v>
      </c>
      <c r="I16" s="141" t="s">
        <v>241</v>
      </c>
      <c r="J16" s="64" t="s">
        <v>235</v>
      </c>
      <c r="K16" s="64" t="s">
        <v>237</v>
      </c>
      <c r="L16" s="79" t="s">
        <v>242</v>
      </c>
      <c r="M16" s="64" t="s">
        <v>236</v>
      </c>
      <c r="N16" s="213" t="s">
        <v>239</v>
      </c>
      <c r="O16" s="65" t="s">
        <v>238</v>
      </c>
      <c r="P16" s="158" t="s">
        <v>241</v>
      </c>
      <c r="Q16" s="156" t="s">
        <v>235</v>
      </c>
      <c r="R16" s="156" t="s">
        <v>237</v>
      </c>
      <c r="S16" s="209" t="s">
        <v>242</v>
      </c>
      <c r="T16" s="156" t="s">
        <v>236</v>
      </c>
      <c r="U16" s="207" t="s">
        <v>239</v>
      </c>
      <c r="V16" s="157" t="s">
        <v>238</v>
      </c>
    </row>
    <row r="17" spans="1:22" ht="18" customHeight="1">
      <c r="A17" s="73" t="str">
        <f>IF($C$9="Data Not Entered On Set-Up Worksheet","",IF(OR(VLOOKUP($C$9,County_Lookup,2,FALSE)="",VLOOKUP($C$9,County_Lookup,2,FALSE)=0),"",VLOOKUP($C$9,County_Lookup,2,FALSE)))</f>
        <v/>
      </c>
      <c r="B17" s="142"/>
      <c r="C17" s="144"/>
      <c r="D17" s="144"/>
      <c r="E17" s="142"/>
      <c r="F17" s="58"/>
      <c r="G17" s="211" t="str">
        <f t="shared" ref="G17:G44" si="2">IF($A17="","",IF($F17=0,0,B17/$F17))</f>
        <v/>
      </c>
      <c r="H17" s="67" t="str">
        <f>IF($A17="","",IF($F17=0,0,E17/$F17))</f>
        <v/>
      </c>
      <c r="I17" s="142"/>
      <c r="J17" s="144"/>
      <c r="K17" s="144"/>
      <c r="L17" s="142"/>
      <c r="M17" s="58"/>
      <c r="N17" s="211" t="str">
        <f t="shared" ref="N17:N44" si="3">IF($A17="","",IF($M17=0,0,I17/$M17))</f>
        <v/>
      </c>
      <c r="O17" s="67" t="str">
        <f t="shared" ref="O17:O44" si="4">IF($A17="","",IF($M17=0,0,L17/$M17))</f>
        <v/>
      </c>
      <c r="P17" s="142"/>
      <c r="Q17" s="144"/>
      <c r="R17" s="144"/>
      <c r="S17" s="142"/>
      <c r="T17" s="58"/>
      <c r="U17" s="211" t="str">
        <f t="shared" ref="U17:U44" si="5">IF($A17="","",IF($T17=0,0,P17/$T17))</f>
        <v/>
      </c>
      <c r="V17" s="67" t="str">
        <f t="shared" ref="V17:V44" si="6">IF($A17="","",IF($T17=0,0,S17/$T17))</f>
        <v/>
      </c>
    </row>
    <row r="18" spans="1:22" ht="18" customHeight="1">
      <c r="A18" s="74" t="str">
        <f>IF($C$9="Data Not Entered On Set-Up Worksheet","",IF(OR(VLOOKUP($C$9,County_Lookup,3,FALSE)="",VLOOKUP($C$9,County_Lookup,3,FALSE)=0),"",VLOOKUP($C$9,County_Lookup,3,FALSE)))</f>
        <v/>
      </c>
      <c r="B18" s="142"/>
      <c r="C18" s="144"/>
      <c r="D18" s="144"/>
      <c r="E18" s="142"/>
      <c r="F18" s="58"/>
      <c r="G18" s="211" t="str">
        <f t="shared" si="2"/>
        <v/>
      </c>
      <c r="H18" s="67" t="str">
        <f t="shared" ref="H18:H43"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c r="A19" s="74" t="str">
        <f>IF($C$9="Data Not Entered On Set-Up Worksheet","",IF(OR(VLOOKUP($C$9,County_Lookup,4,FALSE)="",VLOOKUP($C$9,County_Lookup,4,FALSE)=0),"",VLOOKUP($C$9,County_Lookup,4,FALSE)))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c r="A20" s="74" t="str">
        <f>IF($C$9="Data Not Entered On Set-Up Worksheet","",IF(OR(VLOOKUP($C$9,County_Lookup,5,FALSE)="",VLOOKUP($C$9,County_Lookup,5,FALSE)=0),"",VLOOKUP($C$9,County_Lookup,5,FALSE)))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c r="A21" s="74" t="str">
        <f>IF($C$9="Data Not Entered On Set-Up Worksheet","",IF(OR(VLOOKUP($C$9,County_Lookup,6,FALSE)="",VLOOKUP($C$9,County_Lookup,6,FALSE)=0),"",VLOOKUP($C$9,County_Lookup,6,FALSE)))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c r="A22" s="74" t="str">
        <f>IF($C$9="Data Not Entered On Set-Up Worksheet","",IF(OR(VLOOKUP($C$9,County_Lookup,7,FALSE)="",VLOOKUP($C$9,County_Lookup,7,FALSE)=0),"",VLOOKUP($C$9,County_Lookup,7,FALSE)))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c r="A23" s="73" t="str">
        <f>IF($C$9="Data Not Entered On Set-Up Worksheet","",IF(OR(VLOOKUP($C$9,County_Lookup,8,FALSE)="",VLOOKUP($C$9,County_Lookup,8,FALSE)=0),"",VLOOKUP($C$9,County_Lookup,8,FALSE)))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c r="A24" s="74" t="str">
        <f>IF($C$9="Data Not Entered On Set-Up Worksheet","",IF(OR(VLOOKUP($C$9,County_Lookup,9,FALSE)="",VLOOKUP($C$9,County_Lookup,9,FALSE)=0),"",VLOOKUP($C$9,County_Lookup,9,FALSE)))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c r="A25" s="74" t="str">
        <f>IF($C$9="Data Not Entered On Set-Up Worksheet","",IF(OR(VLOOKUP($C$9,County_Lookup,10,FALSE)="",VLOOKUP($C$9,County_Lookup,10,FALSE)=0),"",VLOOKUP($C$9,County_Lookup,10,FALSE)))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c r="A26" s="74" t="str">
        <f>IF($C$9="Data Not Entered On Set-Up Worksheet","",IF(OR(VLOOKUP($C$9,County_Lookup,11,FALSE)="",VLOOKUP($C$9,County_Lookup,11,FALSE)=0),"",VLOOKUP($C$9,County_Lookup,11,FALSE)))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c r="A27" s="74" t="str">
        <f>IF($C$9="Data Not Entered On Set-Up Worksheet","",IF(OR(VLOOKUP($C$9,County_Lookup,12,FALSE)="",VLOOKUP($C$9,County_Lookup,12,FALSE)=0),"",VLOOKUP($C$9,County_Lookup,12,FALSE)))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c r="A28" s="74" t="str">
        <f>IF($C$9="Data Not Entered On Set-Up Worksheet","",IF(OR(VLOOKUP($C$9,County_Lookup,13,FALSE)="",VLOOKUP($C$9,County_Lookup,13,FALSE)=0),"",VLOOKUP($C$9,County_Lookup,13,FALSE)))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c r="A29" s="74" t="str">
        <f>IF($C$9="Data Not Entered On Set-Up Worksheet","",IF(OR(VLOOKUP($C$9,County_Lookup,14,FALSE)="",VLOOKUP($C$9,County_Lookup,14,FALSE)=0),"",VLOOKUP($C$9,County_Lookup,14,FALSE)))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c r="A30" s="73" t="str">
        <f>IF($C$9="Data Not Entered On Set-Up Worksheet","",IF(OR(VLOOKUP($C$9,County_Lookup,15,FALSE)="",VLOOKUP($C$9,County_Lookup,15,FALSE)=0),"",VLOOKUP($C$9,County_Lookup,15,FALSE)))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c r="A31" s="74" t="str">
        <f>IF($C$9="Data Not Entered On Set-Up Worksheet","",IF(OR(VLOOKUP($C$9,County_Lookup,16,FALSE)="",VLOOKUP($C$9,County_Lookup,16,FALSE)=0),"",VLOOKUP($C$9,County_Lookup,16,FALSE)))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c r="A32" s="74" t="str">
        <f>IF($C$9="Data Not Entered On Set-Up Worksheet","",IF(OR(VLOOKUP($C$9,County_Lookup,17,FALSE)="",VLOOKUP($C$9,County_Lookup,17,FALSE)=0),"",VLOOKUP($C$9,County_Lookup,17,FALSE)))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c r="A33" s="74" t="str">
        <f>IF($C$9="Data Not Entered On Set-Up Worksheet","",IF(OR(VLOOKUP($C$9,County_Lookup,18,FALSE)="",VLOOKUP($C$9,County_Lookup,18,FALSE)=0),"",VLOOKUP($C$9,County_Lookup,18,FALSE)))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c r="A34" s="74" t="str">
        <f>IF($C$9="Data Not Entered On Set-Up Worksheet","",IF(OR(VLOOKUP($C$9,County_Lookup,19,FALSE)="",VLOOKUP($C$9,County_Lookup,19,FALSE)=0),"",VLOOKUP($C$9,County_Lookup,19,FALSE)))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c r="A35" s="74" t="str">
        <f>IF($C$9="Data Not Entered On Set-Up Worksheet","",IF(OR(VLOOKUP($C$9,County_Lookup,20,FALSE)="",VLOOKUP($C$9,County_Lookup,20,FALSE)=0),"",VLOOKUP($C$9,County_Lookup,20,FALSE)))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c r="A36" s="74" t="str">
        <f>IF($C$9="Data Not Entered On Set-Up Worksheet","",IF(OR(VLOOKUP($C$9,County_Lookup,21,FALSE)="",VLOOKUP($C$9,County_Lookup,21,FALSE)=0),"",VLOOKUP($C$9,County_Lookup,21,FALSE)))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c r="A37" s="73" t="str">
        <f>IF($C$9="Data Not Entered On Set-Up Worksheet","",IF(OR(VLOOKUP($C$9,County_Lookup,22,FALSE)="",VLOOKUP($C$9,County_Lookup,22,FALSE)=0),"",VLOOKUP($C$9,County_Lookup,22,FALSE)))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c r="A38" s="74" t="str">
        <f>IF($C$9="Data Not Entered On Set-Up Worksheet","",IF(OR(VLOOKUP($C$9,County_Lookup,23,FALSE)="",VLOOKUP($C$9,County_Lookup,23,FALSE)=0),"",VLOOKUP($C$9,County_Lookup,23,FALSE)))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c r="A39" s="74" t="str">
        <f>IF($C$9="Data Not Entered On Set-Up Worksheet","",IF(OR(VLOOKUP($C$9,County_Lookup,24,FALSE)="",VLOOKUP($C$9,County_Lookup,24,FALSE)=0),"",VLOOKUP($C$9,County_Lookup,24,FALSE)))</f>
        <v/>
      </c>
      <c r="B39" s="142"/>
      <c r="C39" s="144"/>
      <c r="D39" s="144"/>
      <c r="E39" s="142"/>
      <c r="F39" s="58"/>
      <c r="G39" s="211" t="str">
        <f t="shared" ref="G39:G42" si="8">IF($A39="","",IF($F39=0,0,B39/$F39))</f>
        <v/>
      </c>
      <c r="H39" s="67" t="str">
        <f t="shared" ref="H39:H42" si="9">IF($A39="","",IF($F39=0,0,E39/$F39))</f>
        <v/>
      </c>
      <c r="I39" s="142"/>
      <c r="J39" s="144"/>
      <c r="K39" s="144"/>
      <c r="L39" s="142"/>
      <c r="M39" s="58"/>
      <c r="N39" s="211" t="str">
        <f t="shared" ref="N39:N42" si="10">IF($A39="","",IF($M39=0,0,I39/$M39))</f>
        <v/>
      </c>
      <c r="O39" s="67" t="str">
        <f t="shared" ref="O39:O42" si="11">IF($A39="","",IF($M39=0,0,L39/$M39))</f>
        <v/>
      </c>
      <c r="P39" s="142"/>
      <c r="Q39" s="144"/>
      <c r="R39" s="144"/>
      <c r="S39" s="142"/>
      <c r="T39" s="58"/>
      <c r="U39" s="211" t="str">
        <f t="shared" ref="U39:U42" si="12">IF($A39="","",IF($T39=0,0,P39/$T39))</f>
        <v/>
      </c>
      <c r="V39" s="67" t="str">
        <f t="shared" ref="V39:V42" si="13">IF($A39="","",IF($T39=0,0,S39/$T39))</f>
        <v/>
      </c>
    </row>
    <row r="40" spans="1:22" ht="18" customHeight="1">
      <c r="A40" s="74" t="str">
        <f>IF($C$9="Data Not Entered On Set-Up Worksheet","",IF(OR(VLOOKUP($C$9,County_Lookup,25,FALSE)="",VLOOKUP($C$9,County_Lookup,25,FALSE)=0),"",VLOOKUP($C$9,County_Lookup,25,FALSE)))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c r="A41" s="74" t="str">
        <f>IF($C$9="Data Not Entered On Set-Up Worksheet","",IF(OR(VLOOKUP($C$9,County_Lookup,26,FALSE)="",VLOOKUP($C$9,County_Lookup,26,FALSE)=0),"",VLOOKUP($C$9,County_Lookup,26,FALSE)))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c r="A42" s="74" t="str">
        <f>IF($C$9="Data Not Entered On Set-Up Worksheet","",IF(OR(VLOOKUP($C$9,County_Lookup,27,FALSE)="",VLOOKUP($C$9,County_Lookup,27,FALSE)=0),"",VLOOKUP($C$9,County_Lookup,27,FALSE)))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c r="A43" s="74" t="str">
        <f>IF($C$9="Data Not Entered On Set-Up Worksheet","",IF(OR(VLOOKUP($C$9,County_Lookup,28,FALSE)="",VLOOKUP($C$9,County_Lookup,28,FALSE)=0),"",VLOOKUP($C$9,County_Lookup,28,FALSE)))</f>
        <v/>
      </c>
      <c r="B43" s="142"/>
      <c r="C43" s="144"/>
      <c r="D43" s="144"/>
      <c r="E43" s="142"/>
      <c r="F43" s="58"/>
      <c r="G43" s="211" t="str">
        <f t="shared" si="2"/>
        <v/>
      </c>
      <c r="H43" s="67" t="str">
        <f t="shared" si="7"/>
        <v/>
      </c>
      <c r="I43" s="142"/>
      <c r="J43" s="144"/>
      <c r="K43" s="144"/>
      <c r="L43" s="142"/>
      <c r="M43" s="58"/>
      <c r="N43" s="211" t="str">
        <f t="shared" si="3"/>
        <v/>
      </c>
      <c r="O43" s="67" t="str">
        <f t="shared" si="4"/>
        <v/>
      </c>
      <c r="P43" s="142"/>
      <c r="Q43" s="144"/>
      <c r="R43" s="144"/>
      <c r="S43" s="142"/>
      <c r="T43" s="58"/>
      <c r="U43" s="211" t="str">
        <f t="shared" si="5"/>
        <v/>
      </c>
      <c r="V43" s="67" t="str">
        <f t="shared" si="6"/>
        <v/>
      </c>
    </row>
    <row r="44" spans="1:22" ht="18" customHeight="1" thickBot="1">
      <c r="A44" s="75" t="s">
        <v>0</v>
      </c>
      <c r="B44" s="143">
        <f t="shared" ref="B44:D44" si="14">SUM(B17:B43)</f>
        <v>0</v>
      </c>
      <c r="C44" s="69">
        <f t="shared" si="14"/>
        <v>0</v>
      </c>
      <c r="D44" s="69">
        <f t="shared" si="14"/>
        <v>0</v>
      </c>
      <c r="E44" s="210">
        <f>SUM(E17:E43)</f>
        <v>0</v>
      </c>
      <c r="F44" s="69">
        <f>SUM(F17:F43)</f>
        <v>0</v>
      </c>
      <c r="G44" s="212">
        <f t="shared" si="2"/>
        <v>0</v>
      </c>
      <c r="H44" s="70">
        <f>IF($A44="","",IF($F44=0,0,E44/$F44))</f>
        <v>0</v>
      </c>
      <c r="I44" s="143">
        <f t="shared" ref="I44" si="15">SUM(I17:I43)</f>
        <v>0</v>
      </c>
      <c r="J44" s="69">
        <f t="shared" ref="J44" si="16">SUM(J17:J43)</f>
        <v>0</v>
      </c>
      <c r="K44" s="69">
        <f t="shared" ref="K44" si="17">SUM(K17:K43)</f>
        <v>0</v>
      </c>
      <c r="L44" s="210">
        <f>SUM(L17:L43)</f>
        <v>0</v>
      </c>
      <c r="M44" s="69">
        <f>SUM(M17:M43)</f>
        <v>0</v>
      </c>
      <c r="N44" s="212">
        <f t="shared" si="3"/>
        <v>0</v>
      </c>
      <c r="O44" s="70">
        <f t="shared" si="4"/>
        <v>0</v>
      </c>
      <c r="P44" s="143">
        <f t="shared" ref="P44" si="18">SUM(P17:P43)</f>
        <v>0</v>
      </c>
      <c r="Q44" s="69">
        <f t="shared" ref="Q44" si="19">SUM(Q17:Q43)</f>
        <v>0</v>
      </c>
      <c r="R44" s="69">
        <f t="shared" ref="R44" si="20">SUM(R17:R43)</f>
        <v>0</v>
      </c>
      <c r="S44" s="210">
        <f>SUM(S17:S43)</f>
        <v>0</v>
      </c>
      <c r="T44" s="69">
        <f>SUM(T17:T43)</f>
        <v>0</v>
      </c>
      <c r="U44" s="212">
        <f t="shared" si="5"/>
        <v>0</v>
      </c>
      <c r="V44" s="70">
        <f t="shared" si="6"/>
        <v>0</v>
      </c>
    </row>
    <row r="46" spans="1:22">
      <c r="B46" s="57" t="s">
        <v>373</v>
      </c>
      <c r="C46" s="57"/>
      <c r="D46" s="57"/>
      <c r="E46" s="57"/>
      <c r="F46" s="57"/>
      <c r="G46" s="57"/>
      <c r="H46" s="57"/>
      <c r="I46" s="57" t="s">
        <v>374</v>
      </c>
      <c r="J46" s="57"/>
      <c r="K46" s="57"/>
      <c r="L46" s="57"/>
      <c r="M46" s="57"/>
      <c r="N46" s="57"/>
      <c r="O46" s="57"/>
      <c r="P46" s="57" t="s">
        <v>375</v>
      </c>
    </row>
  </sheetData>
  <sheetProtection sheet="1" objects="1" scenarios="1"/>
  <conditionalFormatting sqref="G3:G4 C3:C4 G9 C9 G11 C11 E11">
    <cfRule type="expression" dxfId="833" priority="83">
      <formula>C3="Data Not Entered On Set-Up Worksheet"</formula>
    </cfRule>
  </conditionalFormatting>
  <conditionalFormatting sqref="F12:G12">
    <cfRule type="expression" dxfId="832" priority="81">
      <formula>F12="Data Not Entered On Set-Up Worksheet"</formula>
    </cfRule>
  </conditionalFormatting>
  <conditionalFormatting sqref="N3:N4 J3:J4 N9 J9 N11 J11 L11">
    <cfRule type="expression" dxfId="831" priority="23">
      <formula>J3="Data Not Entered On Set-Up Worksheet"</formula>
    </cfRule>
  </conditionalFormatting>
  <conditionalFormatting sqref="M12:N12">
    <cfRule type="expression" dxfId="830" priority="22">
      <formula>M12="Data Not Entered On Set-Up Worksheet"</formula>
    </cfRule>
  </conditionalFormatting>
  <conditionalFormatting sqref="I17:M39 I43:M43">
    <cfRule type="expression" dxfId="829" priority="21">
      <formula>AND($A17&lt;&gt;"",I17="")</formula>
    </cfRule>
  </conditionalFormatting>
  <conditionalFormatting sqref="U3:U4 Q3:Q4 U9 Q9 U11 Q11 S11">
    <cfRule type="expression" dxfId="828" priority="20">
      <formula>Q3="Data Not Entered On Set-Up Worksheet"</formula>
    </cfRule>
  </conditionalFormatting>
  <conditionalFormatting sqref="T12:U12">
    <cfRule type="expression" dxfId="827" priority="19">
      <formula>T12="Data Not Entered On Set-Up Worksheet"</formula>
    </cfRule>
  </conditionalFormatting>
  <conditionalFormatting sqref="P17:T39 P43:T43">
    <cfRule type="expression" dxfId="826" priority="18">
      <formula>AND($A17&lt;&gt;"",P17="")</formula>
    </cfRule>
  </conditionalFormatting>
  <conditionalFormatting sqref="E12">
    <cfRule type="expression" dxfId="825" priority="17">
      <formula>E12="Data Not Entered On Set-Up Worksheet"</formula>
    </cfRule>
  </conditionalFormatting>
  <conditionalFormatting sqref="P39:T39">
    <cfRule type="expression" dxfId="824" priority="14">
      <formula>AND($A39&lt;&gt;"",P39="")</formula>
    </cfRule>
  </conditionalFormatting>
  <conditionalFormatting sqref="B17:F39 B43:F43">
    <cfRule type="expression" dxfId="823" priority="13">
      <formula>$A17="Other"</formula>
    </cfRule>
    <cfRule type="expression" dxfId="822" priority="24">
      <formula>AND($A17&lt;&gt;"",B17="")</formula>
    </cfRule>
  </conditionalFormatting>
  <conditionalFormatting sqref="I40:M40">
    <cfRule type="expression" dxfId="821" priority="11">
      <formula>AND($A40&lt;&gt;"",I40="")</formula>
    </cfRule>
  </conditionalFormatting>
  <conditionalFormatting sqref="P40:T40">
    <cfRule type="expression" dxfId="820" priority="10">
      <formula>AND($A40&lt;&gt;"",P40="")</formula>
    </cfRule>
  </conditionalFormatting>
  <conditionalFormatting sqref="B40:F40">
    <cfRule type="expression" dxfId="819" priority="9">
      <formula>$A40="Other"</formula>
    </cfRule>
    <cfRule type="expression" dxfId="818" priority="12">
      <formula>AND($A40&lt;&gt;"",B40="")</formula>
    </cfRule>
  </conditionalFormatting>
  <conditionalFormatting sqref="I41:M41">
    <cfRule type="expression" dxfId="817" priority="7">
      <formula>AND($A41&lt;&gt;"",I41="")</formula>
    </cfRule>
  </conditionalFormatting>
  <conditionalFormatting sqref="P41:T41">
    <cfRule type="expression" dxfId="816" priority="6">
      <formula>AND($A41&lt;&gt;"",P41="")</formula>
    </cfRule>
  </conditionalFormatting>
  <conditionalFormatting sqref="B41:F41">
    <cfRule type="expression" dxfId="815" priority="5">
      <formula>$A41="Other"</formula>
    </cfRule>
    <cfRule type="expression" dxfId="814" priority="8">
      <formula>AND($A41&lt;&gt;"",B41="")</formula>
    </cfRule>
  </conditionalFormatting>
  <conditionalFormatting sqref="I42:M42">
    <cfRule type="expression" dxfId="813" priority="3">
      <formula>AND($A42&lt;&gt;"",I42="")</formula>
    </cfRule>
  </conditionalFormatting>
  <conditionalFormatting sqref="P42:T42">
    <cfRule type="expression" dxfId="812" priority="2">
      <formula>AND($A42&lt;&gt;"",P42="")</formula>
    </cfRule>
  </conditionalFormatting>
  <conditionalFormatting sqref="B42:F42">
    <cfRule type="expression" dxfId="811" priority="1">
      <formula>$A42="Other"</formula>
    </cfRule>
    <cfRule type="expression" dxfId="810" priority="4">
      <formula>AND($A42&lt;&gt;"",B42="")</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c r="A1" s="35" t="s">
        <v>23</v>
      </c>
      <c r="I1" s="35" t="s">
        <v>254</v>
      </c>
      <c r="P1" s="35" t="s">
        <v>254</v>
      </c>
    </row>
    <row r="2" spans="1:23" ht="15" customHeight="1">
      <c r="A2" s="35" t="s">
        <v>187</v>
      </c>
      <c r="I2" s="247" t="s">
        <v>255</v>
      </c>
      <c r="P2" s="247" t="s">
        <v>255</v>
      </c>
    </row>
    <row r="3" spans="1:23" ht="15" customHeight="1">
      <c r="A3" s="30" t="s">
        <v>185</v>
      </c>
      <c r="C3" s="138">
        <f>IF('Set-Up Worksheet'!F3="","Data Not Entered On Set-Up Worksheet",'Set-Up Worksheet'!F3)</f>
        <v>2021</v>
      </c>
      <c r="D3" s="138"/>
      <c r="E3" s="37"/>
      <c r="F3" s="37"/>
      <c r="J3" s="138">
        <f t="shared" ref="J3:J4" si="0">C3</f>
        <v>2021</v>
      </c>
      <c r="K3" s="138"/>
      <c r="L3" s="37"/>
      <c r="M3" s="37"/>
      <c r="Q3" s="138">
        <f t="shared" ref="Q3:Q4" si="1">C3</f>
        <v>2021</v>
      </c>
      <c r="R3" s="138"/>
      <c r="S3" s="37"/>
      <c r="T3" s="37"/>
    </row>
    <row r="4" spans="1:23" ht="15" customHeight="1">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c r="A5" s="30"/>
      <c r="C5" s="32"/>
      <c r="D5" s="32"/>
      <c r="E5" s="32"/>
      <c r="F5" s="32"/>
      <c r="J5" s="32"/>
      <c r="K5" s="32"/>
      <c r="L5" s="32"/>
      <c r="M5" s="32"/>
      <c r="Q5" s="32"/>
      <c r="R5" s="32"/>
      <c r="S5" s="32"/>
      <c r="T5" s="32"/>
    </row>
    <row r="6" spans="1:23" ht="15" customHeight="1">
      <c r="A6" s="30" t="s">
        <v>234</v>
      </c>
      <c r="C6" s="32"/>
      <c r="D6" s="32"/>
      <c r="E6" s="32"/>
      <c r="F6" s="32"/>
      <c r="I6" s="30" t="s">
        <v>256</v>
      </c>
      <c r="J6" s="32"/>
      <c r="K6" s="32"/>
      <c r="L6" s="32"/>
      <c r="M6" s="32"/>
      <c r="P6" s="30" t="s">
        <v>256</v>
      </c>
      <c r="Q6" s="32"/>
      <c r="R6" s="32"/>
      <c r="S6" s="32"/>
      <c r="T6" s="32"/>
    </row>
    <row r="7" spans="1:23" ht="15" customHeight="1">
      <c r="A7" s="30" t="s">
        <v>260</v>
      </c>
      <c r="C7" s="32"/>
      <c r="D7" s="32"/>
      <c r="E7" s="32"/>
      <c r="F7" s="32"/>
      <c r="I7" s="30" t="s">
        <v>339</v>
      </c>
      <c r="J7" s="32"/>
      <c r="K7" s="32"/>
      <c r="L7" s="32"/>
      <c r="M7" s="32"/>
      <c r="P7" s="30" t="s">
        <v>339</v>
      </c>
      <c r="Q7" s="32"/>
      <c r="R7" s="32"/>
      <c r="S7" s="32"/>
      <c r="T7" s="32"/>
    </row>
    <row r="8" spans="1:23" ht="15" customHeight="1">
      <c r="A8" s="30"/>
      <c r="C8" s="32"/>
      <c r="D8" s="32"/>
      <c r="E8" s="32"/>
      <c r="F8" s="32"/>
      <c r="J8" s="32"/>
      <c r="K8" s="32"/>
      <c r="L8" s="32"/>
      <c r="M8" s="32"/>
      <c r="Q8" s="32"/>
      <c r="R8" s="32"/>
      <c r="S8" s="32"/>
      <c r="T8" s="32"/>
    </row>
    <row r="9" spans="1:23" ht="15" customHeight="1">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c r="A11" s="30" t="s">
        <v>188</v>
      </c>
      <c r="C11" s="39" t="str">
        <f>IF(C4="Data Not Entered On Set-Up Worksheet","Data Not Entered On Set-Up Worksheet",IF(C4="1st Quarter",'Report Schedule'!D16,IF(C4="2nd Quarter",'Report Schedule'!E16,IF(C4="3rd Quarter",'Report Schedule'!F16,IF(C4="4th Quarter",'Report Schedule'!G16,"")))))</f>
        <v>Apr - Jun 2020</v>
      </c>
      <c r="D11" s="39"/>
      <c r="E11" s="206" t="str">
        <f>IF(COUNTA(B17:F19)&lt;&gt;15,"Enter data in yellow shaded cells","")</f>
        <v>Enter data in yellow shaded cells</v>
      </c>
      <c r="F11" s="39"/>
      <c r="J11" s="39" t="str">
        <f t="shared" si="2"/>
        <v>Apr - Jun 2020</v>
      </c>
      <c r="K11" s="39"/>
      <c r="L11" s="206" t="str">
        <f>IF(COUNTA(I17:M19)&lt;&gt;15,"Enter data in yellow shaded cells","")</f>
        <v>Enter data in yellow shaded cells</v>
      </c>
      <c r="M11" s="39"/>
      <c r="Q11" s="39" t="str">
        <f t="shared" si="3"/>
        <v>Apr - Jun 2020</v>
      </c>
      <c r="R11" s="39"/>
      <c r="S11" s="206" t="str">
        <f>IF(COUNTA(P17:T19)&lt;&gt;15,"Enter data in yellow shaded cells","")</f>
        <v>Enter data in yellow shaded cells</v>
      </c>
      <c r="T11" s="39"/>
    </row>
    <row r="12" spans="1:23" ht="15" customHeight="1">
      <c r="A12" s="30"/>
      <c r="C12" s="39"/>
      <c r="D12" s="39"/>
      <c r="E12" s="39"/>
      <c r="F12" s="39"/>
      <c r="J12" s="39"/>
      <c r="K12" s="39"/>
      <c r="L12" s="39"/>
      <c r="M12" s="39"/>
      <c r="Q12" s="39"/>
      <c r="R12" s="39"/>
      <c r="S12" s="39"/>
      <c r="T12" s="39"/>
    </row>
    <row r="13" spans="1:23" ht="15" customHeight="1" thickBot="1">
      <c r="A13" s="30"/>
      <c r="C13" s="39"/>
      <c r="D13" s="39"/>
      <c r="E13" s="39"/>
      <c r="F13" s="39"/>
      <c r="J13" s="39"/>
      <c r="K13" s="39"/>
      <c r="L13" s="39"/>
      <c r="M13" s="39"/>
      <c r="Q13" s="39"/>
      <c r="R13" s="39"/>
      <c r="S13" s="39"/>
      <c r="T13" s="39"/>
    </row>
    <row r="14" spans="1:23" ht="18" customHeight="1" thickBot="1">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5" thickBot="1">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5" customHeight="1">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c r="A17" s="279" t="s">
        <v>345</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c r="A18" s="278"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c r="A19" s="279" t="s">
        <v>240</v>
      </c>
      <c r="B19" s="249"/>
      <c r="C19" s="41"/>
      <c r="D19" s="41"/>
      <c r="E19" s="41"/>
      <c r="F19" s="41"/>
      <c r="G19" s="42">
        <f t="shared" si="4"/>
        <v>0</v>
      </c>
      <c r="H19" s="236">
        <f t="shared" si="5"/>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c r="A20" s="279" t="s">
        <v>243</v>
      </c>
      <c r="B20" s="250">
        <f>SUM(B18:B19)</f>
        <v>0</v>
      </c>
      <c r="C20" s="45">
        <f t="shared" ref="C20:F20" si="6">SUM(C18:C19)</f>
        <v>0</v>
      </c>
      <c r="D20" s="45">
        <f t="shared" si="6"/>
        <v>0</v>
      </c>
      <c r="E20" s="45">
        <f t="shared" si="6"/>
        <v>0</v>
      </c>
      <c r="F20" s="45">
        <f t="shared" si="6"/>
        <v>0</v>
      </c>
      <c r="G20" s="42">
        <f t="shared" si="4"/>
        <v>0</v>
      </c>
      <c r="H20" s="236">
        <f t="shared" si="5"/>
        <v>0</v>
      </c>
      <c r="I20" s="268">
        <f>SUM(I18:I19)</f>
        <v>0</v>
      </c>
      <c r="J20" s="45">
        <f t="shared" ref="J20:M20" si="7">SUM(J18:J19)</f>
        <v>0</v>
      </c>
      <c r="K20" s="45">
        <f t="shared" si="7"/>
        <v>0</v>
      </c>
      <c r="L20" s="45">
        <f t="shared" si="7"/>
        <v>0</v>
      </c>
      <c r="M20" s="45">
        <f t="shared" si="7"/>
        <v>0</v>
      </c>
      <c r="N20" s="42">
        <f>IF($M20=0,0,I20/$M20)</f>
        <v>0</v>
      </c>
      <c r="O20" s="236">
        <f>IF($M20=0,0,L20/$M20)</f>
        <v>0</v>
      </c>
      <c r="P20" s="268">
        <f>SUM(P18:P19)</f>
        <v>0</v>
      </c>
      <c r="Q20" s="45">
        <f t="shared" ref="Q20:T20" si="8">SUM(Q18:Q19)</f>
        <v>0</v>
      </c>
      <c r="R20" s="45">
        <f t="shared" si="8"/>
        <v>0</v>
      </c>
      <c r="S20" s="45">
        <f t="shared" si="8"/>
        <v>0</v>
      </c>
      <c r="T20" s="45">
        <f t="shared" si="8"/>
        <v>0</v>
      </c>
      <c r="U20" s="42">
        <f>IF($T20=0,0,P20/$T20)</f>
        <v>0</v>
      </c>
      <c r="V20" s="236">
        <f>IF($T20=0,0,S20/$T20)</f>
        <v>0</v>
      </c>
    </row>
    <row r="21" spans="1:23" ht="36" customHeight="1" thickBot="1">
      <c r="A21" s="302" t="s">
        <v>364</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c r="C22" s="43"/>
      <c r="D22" s="43"/>
      <c r="E22" s="43"/>
      <c r="F22" s="43"/>
      <c r="J22" s="43"/>
      <c r="K22" s="43"/>
      <c r="L22" s="43"/>
      <c r="M22" s="43"/>
      <c r="Q22" s="43"/>
      <c r="R22" s="43"/>
      <c r="S22" s="43"/>
      <c r="T22" s="43"/>
    </row>
    <row r="23" spans="1:23">
      <c r="B23" s="57" t="s">
        <v>373</v>
      </c>
      <c r="C23" s="57"/>
      <c r="D23" s="57"/>
      <c r="E23" s="57"/>
      <c r="F23" s="57"/>
      <c r="G23" s="57"/>
      <c r="H23" s="57"/>
      <c r="I23" s="57" t="s">
        <v>374</v>
      </c>
      <c r="J23" s="57"/>
      <c r="K23" s="57"/>
      <c r="L23" s="57"/>
      <c r="M23" s="57"/>
      <c r="N23" s="57"/>
      <c r="O23" s="57"/>
      <c r="P23" s="57" t="s">
        <v>375</v>
      </c>
    </row>
  </sheetData>
  <sheetProtection sheet="1" objects="1" scenarios="1"/>
  <conditionalFormatting sqref="C3:F3 C9:E9 C12:F13 C4:E4 F11">
    <cfRule type="expression" dxfId="809" priority="9">
      <formula>C3="Data Not Entered On Set-Up Worksheet"</formula>
    </cfRule>
  </conditionalFormatting>
  <conditionalFormatting sqref="B17:F19">
    <cfRule type="cellIs" dxfId="808" priority="8" operator="equal">
      <formula>""</formula>
    </cfRule>
  </conditionalFormatting>
  <conditionalFormatting sqref="C11:D11">
    <cfRule type="expression" dxfId="807" priority="7">
      <formula>C11="Data Not Entered On Set-Up Worksheet"</formula>
    </cfRule>
  </conditionalFormatting>
  <conditionalFormatting sqref="J3:M3 J9:L9 J12:M13 J4:L4 M11">
    <cfRule type="expression" dxfId="806" priority="6">
      <formula>J3="Data Not Entered On Set-Up Worksheet"</formula>
    </cfRule>
  </conditionalFormatting>
  <conditionalFormatting sqref="I17:M19">
    <cfRule type="cellIs" dxfId="805" priority="5" operator="equal">
      <formula>""</formula>
    </cfRule>
  </conditionalFormatting>
  <conditionalFormatting sqref="J11:K11">
    <cfRule type="expression" dxfId="804" priority="4">
      <formula>J11="Data Not Entered On Set-Up Worksheet"</formula>
    </cfRule>
  </conditionalFormatting>
  <conditionalFormatting sqref="Q3:T3 Q9:S9 Q12:T13 Q4:S4 T11">
    <cfRule type="expression" dxfId="803" priority="3">
      <formula>Q3="Data Not Entered On Set-Up Worksheet"</formula>
    </cfRule>
  </conditionalFormatting>
  <conditionalFormatting sqref="P17:T19">
    <cfRule type="cellIs" dxfId="802" priority="2" operator="equal">
      <formula>""</formula>
    </cfRule>
  </conditionalFormatting>
  <conditionalFormatting sqref="Q11:R11">
    <cfRule type="expression" dxfId="801"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58</vt:i4>
      </vt:variant>
    </vt:vector>
  </HeadingPairs>
  <TitlesOfParts>
    <vt:vector size="101" baseType="lpstr">
      <vt:lpstr>Set-Up Worksheet</vt:lpstr>
      <vt:lpstr>Access 2.1</vt:lpstr>
      <vt:lpstr>Access 2.2 </vt:lpstr>
      <vt:lpstr>Access 2.3</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SFY2017</vt:lpstr>
      <vt:lpstr>Pivot Table-Uninsured SFY2017</vt:lpstr>
      <vt:lpstr>Uninsured By County SFY2018</vt:lpstr>
      <vt:lpstr>Pivot Table-Uninsured SFY2018</vt:lpstr>
      <vt:lpstr>Uninsured By County SFY2019</vt:lpstr>
      <vt:lpstr>Pivot Table-Uninsured SFY2019</vt:lpstr>
      <vt:lpstr>Uninsured By County SFY2020</vt:lpstr>
      <vt:lpstr>Pivot Table-Uninsured SFY2020</vt:lpstr>
      <vt:lpstr>Uninsured By County SFY2021</vt:lpstr>
      <vt:lpstr>Pivot Table-Uninsured SFY2021</vt:lpstr>
      <vt:lpstr>Data Validation</vt:lpstr>
      <vt:lpstr>County_Lookup</vt:lpstr>
      <vt:lpstr>County_Lookup_MC</vt:lpstr>
      <vt:lpstr>'Uninsured By County SFY2017'!LME</vt:lpstr>
      <vt:lpstr>'Uninsured By County SFY2018'!LME</vt:lpstr>
      <vt:lpstr>'Uninsured By County SFY2019'!LME</vt:lpstr>
      <vt:lpstr>'Uninsured By County SFY2020'!LME</vt:lpstr>
      <vt:lpstr>'Uninsured By County SFY2021'!LME</vt:lpstr>
      <vt:lpstr>LME_MCO</vt:lpstr>
      <vt:lpstr>'Initiation-Engagement 4.1.a'!Print_Area</vt:lpstr>
      <vt:lpstr>'Initiation-Engagement 4.2.a'!Print_Area</vt:lpstr>
      <vt:lpstr>'Pivot Table-Uninsured SFY2017'!Print_Area</vt:lpstr>
      <vt:lpstr>'Pivot Table-Uninsured SFY2018'!Print_Area</vt:lpstr>
      <vt:lpstr>'Pivot Table-Uninsured SFY2019'!Print_Area</vt:lpstr>
      <vt:lpstr>'Pivot Table-Uninsured SFY2020'!Print_Area</vt:lpstr>
      <vt:lpstr>'Pivot Table-Uninsured SFY2021'!Print_Area</vt:lpstr>
      <vt:lpstr>'Report Schedule'!Print_Area</vt:lpstr>
      <vt:lpstr>'Report Schedule (2)'!Print_Area</vt:lpstr>
      <vt:lpstr>'Set-Up Worksheet'!Print_Area</vt:lpstr>
      <vt:lpstr>'Uninsured By County SFY2017'!Print_Area</vt:lpstr>
      <vt:lpstr>'Uninsured By County SFY2018'!Print_Area</vt:lpstr>
      <vt:lpstr>'Uninsured By County SFY2019'!Print_Area</vt:lpstr>
      <vt:lpstr>'Uninsured By County SFY2020'!Print_Area</vt:lpstr>
      <vt:lpstr>'Uninsured By County SFY2021'!Print_Area</vt:lpstr>
      <vt:lpstr>'Continuity Of Care 6.2'!Print_Titles</vt:lpstr>
      <vt:lpstr>'Continuity Of Care 6.4'!Print_Titles</vt:lpstr>
      <vt:lpstr>'Continuity Of Care 6.5'!Print_Titles</vt:lpstr>
      <vt:lpstr>'Continuity of Care 6.6'!Print_Titles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SFY2017'!Print_Titles</vt:lpstr>
      <vt:lpstr>'Pivot Table-Uninsured SFY2018'!Print_Titles</vt:lpstr>
      <vt:lpstr>'Pivot Table-Uninsured SFY2019'!Print_Titles</vt:lpstr>
      <vt:lpstr>'Pivot Table-Uninsured SFY2020'!Print_Titles</vt:lpstr>
      <vt:lpstr>'Pivot Table-Uninsured SFY2021'!Print_Titles</vt:lpstr>
      <vt:lpstr>'Uninsured By County SFY2017'!Print_Titles</vt:lpstr>
      <vt:lpstr>'Uninsured By County SFY2018'!Print_Titles</vt:lpstr>
      <vt:lpstr>'Uninsured By County SFY2019'!Print_Titles</vt:lpstr>
      <vt:lpstr>'Uninsured By County SFY2020'!Print_Titles</vt:lpstr>
      <vt:lpstr>'Uninsured By County SFY2021'!Print_Titles</vt:lpstr>
      <vt:lpstr>Uninsured_SFY2017</vt:lpstr>
      <vt:lpstr>Uninsured_SFY2018</vt:lpstr>
      <vt:lpstr>Uninsured_SFY2019</vt:lpstr>
      <vt:lpstr>Uninsured_SFY2020</vt:lpstr>
      <vt:lpstr>Uninsured_SFY2021</vt:lpstr>
    </vt:vector>
  </TitlesOfParts>
  <Company>NCDHHS DMH/DD/SAS 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Michael Schwartz</cp:lastModifiedBy>
  <cp:lastPrinted>2018-07-10T21:40:03Z</cp:lastPrinted>
  <dcterms:created xsi:type="dcterms:W3CDTF">2006-10-06T20:30:56Z</dcterms:created>
  <dcterms:modified xsi:type="dcterms:W3CDTF">2020-08-19T18:07:37Z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