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2.xml" ContentType="application/vnd.openxmlformats-officedocument.drawing+xml"/>
  <Override PartName="/xl/comments20.xml" ContentType="application/vnd.openxmlformats-officedocument.spreadsheetml.comments+xml"/>
  <Override PartName="/xl/drawings/drawing3.xml" ContentType="application/vnd.openxmlformats-officedocument.drawing+xml"/>
  <Override PartName="/xl/comments21.xml" ContentType="application/vnd.openxmlformats-officedocument.spreadsheetml.comments+xml"/>
  <Override PartName="/xl/drawings/drawing4.xml" ContentType="application/vnd.openxmlformats-officedocument.drawing+xml"/>
  <Override PartName="/xl/comments22.xml" ContentType="application/vnd.openxmlformats-officedocument.spreadsheetml.comments+xml"/>
  <Override PartName="/xl/pivotTables/pivotTable1.xml" ContentType="application/vnd.openxmlformats-officedocument.spreadsheetml.pivotTable+xml"/>
  <Override PartName="/xl/drawings/drawing5.xml" ContentType="application/vnd.openxmlformats-officedocument.drawing+xml"/>
  <Override PartName="/xl/comments23.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H:\My Documents\Quality Management\System Performance\LME-MCO Performance Measures Specs\"/>
    </mc:Choice>
  </mc:AlternateContent>
  <bookViews>
    <workbookView xWindow="-15" yWindow="-15" windowWidth="11955" windowHeight="4500" tabRatio="708"/>
  </bookViews>
  <sheets>
    <sheet name="Set-Up Worksheet" sheetId="29" r:id="rId1"/>
    <sheet name="Prevention 1.1" sheetId="85" r:id="rId2"/>
    <sheet name="Access 2.1" sheetId="87" r:id="rId3"/>
    <sheet name="Access 2.2" sheetId="88" r:id="rId4"/>
    <sheet name="Access 2.3" sheetId="89" r:id="rId5"/>
    <sheet name="Penetration 3.1" sheetId="78" r:id="rId6"/>
    <sheet name="Penetration 3.2" sheetId="90" r:id="rId7"/>
    <sheet name="Initiation-Engagement 4.1.a" sheetId="33" r:id="rId8"/>
    <sheet name="Initiation-Engagement 4.1.b" sheetId="94" r:id="rId9"/>
    <sheet name="Initiation-Engagement 4.2.a" sheetId="119" r:id="rId10"/>
    <sheet name="Initiation-Engagement 4.2.b" sheetId="96" r:id="rId11"/>
    <sheet name="Crisis &amp; Inpatient 5.1" sheetId="97" r:id="rId12"/>
    <sheet name="Crisis &amp; Inpatient 5.2" sheetId="98" r:id="rId13"/>
    <sheet name="Crisis &amp; Inpatient 5.3" sheetId="99" r:id="rId14"/>
    <sheet name="Crisis &amp; Inpatient 5.4" sheetId="101" r:id="rId15"/>
    <sheet name="Crisis &amp; Inpatient 5.5" sheetId="102" r:id="rId16"/>
    <sheet name="Crisis &amp; Inpatient 5.6" sheetId="106" r:id="rId17"/>
    <sheet name="Crisis &amp; Inpatient 5.7.a" sheetId="107" r:id="rId18"/>
    <sheet name="Crisis &amp; Inpatient 5.7.b" sheetId="108" r:id="rId19"/>
    <sheet name="Crisis &amp; Inpatient 5.7.c" sheetId="109" r:id="rId20"/>
    <sheet name="Crisis &amp; Inpatient 5.7.d" sheetId="110" r:id="rId21"/>
    <sheet name="Crisis &amp; Inpatient 5.8" sheetId="111" r:id="rId22"/>
    <sheet name="Crisis &amp; Inpatient 5.9.a" sheetId="112" r:id="rId23"/>
    <sheet name="Crisis &amp; Inpatient 5.9.b" sheetId="113" r:id="rId24"/>
    <sheet name="Crisis &amp; Inpatient 5.9.c" sheetId="114" r:id="rId25"/>
    <sheet name="Continuity Of Care 6.1" sheetId="115" r:id="rId26"/>
    <sheet name="Continuity Of Care 6.2" sheetId="72" r:id="rId27"/>
    <sheet name="Continuity Of Care 6.3" sheetId="116" r:id="rId28"/>
    <sheet name="Continuity Of Care 6.4" sheetId="117" r:id="rId29"/>
    <sheet name="Continuity Of Care 6.5" sheetId="118" r:id="rId30"/>
    <sheet name="Continuity of Care 6.6" sheetId="79" r:id="rId31"/>
    <sheet name="Report Schedule" sheetId="105" r:id="rId32"/>
    <sheet name="Report Schedule (2)" sheetId="104" r:id="rId33"/>
    <sheet name="Uninsured By County SFY2014" sheetId="91" r:id="rId34"/>
    <sheet name="Pivot Table-Uninsured SFY2014" sheetId="92" r:id="rId35"/>
    <sheet name="Uninsured By County SFY2015" sheetId="120" r:id="rId36"/>
    <sheet name="Pivot Table-Uninsured SFY2015" sheetId="121" r:id="rId37"/>
    <sheet name="Uninsured By County SFY2016" sheetId="124" r:id="rId38"/>
    <sheet name="Pivot Table-Uninsured SFY2016" sheetId="125" r:id="rId39"/>
    <sheet name="Uninsured By County SFY2017" sheetId="126" r:id="rId40"/>
    <sheet name="Pivot Table-Uninsured SFY2017" sheetId="127" r:id="rId41"/>
    <sheet name="Data Validation" sheetId="71" r:id="rId42"/>
  </sheets>
  <definedNames>
    <definedName name="_xlnm._FilterDatabase" localSheetId="31" hidden="1">'Report Schedule'!$H$9:$H$58</definedName>
    <definedName name="_xlnm._FilterDatabase" localSheetId="32" hidden="1">'Report Schedule (2)'!$L$10:$M$60</definedName>
    <definedName name="_xlnm._FilterDatabase" localSheetId="33" hidden="1">'Uninsured By County SFY2014'!$A$5:$V$111</definedName>
    <definedName name="_xlnm._FilterDatabase" localSheetId="35" hidden="1">'Uninsured By County SFY2015'!$A$5:$V$111</definedName>
    <definedName name="_xlnm._FilterDatabase" localSheetId="37" hidden="1">'Uninsured By County SFY2016'!$A$5:$S$107</definedName>
    <definedName name="_xlnm._FilterDatabase" localSheetId="39" hidden="1">'Uninsured By County SFY2017'!$A$5:$S$107</definedName>
    <definedName name="County_Lookup">'Data Validation'!$A$19:$Z$28</definedName>
    <definedName name="County_Lookup_MC">'Data Validation'!$A$33:$Y$42</definedName>
    <definedName name="LME" localSheetId="33">'Uninsured By County SFY2014'!$A$5:$V$105</definedName>
    <definedName name="LME" localSheetId="35">'Uninsured By County SFY2015'!$A$5:$V$105</definedName>
    <definedName name="LME" localSheetId="37">'Uninsured By County SFY2016'!$A$5:$S$105</definedName>
    <definedName name="LME" localSheetId="39">'Uninsured By County SFY2017'!$A$5:$S$105</definedName>
    <definedName name="LME_MCO">'Data Validation'!$A$4:$A$13</definedName>
    <definedName name="_xlnm.Print_Area" localSheetId="7">'Initiation-Engagement 4.1.a'!$A$1:$V$21</definedName>
    <definedName name="_xlnm.Print_Area" localSheetId="9">'Initiation-Engagement 4.2.a'!$A$1:$V$21</definedName>
    <definedName name="_xlnm.Print_Area" localSheetId="38">'Pivot Table-Uninsured SFY2016'!$A$1:$E$125</definedName>
    <definedName name="_xlnm.Print_Area" localSheetId="40">'Pivot Table-Uninsured SFY2017'!$A$1:$E$123</definedName>
    <definedName name="_xlnm.Print_Area" localSheetId="31">'Report Schedule'!$A$1:$G$59</definedName>
    <definedName name="_xlnm.Print_Area" localSheetId="32">'Report Schedule (2)'!$A$1:$K$60</definedName>
    <definedName name="_xlnm.Print_Area" localSheetId="0">'Set-Up Worksheet'!$A$1:$N$17</definedName>
    <definedName name="_xlnm.Print_Area" localSheetId="33">'Uninsured By County SFY2014'!$A$2:$V$111</definedName>
    <definedName name="_xlnm.Print_Area" localSheetId="35">'Uninsured By County SFY2015'!$A$2:$V$111</definedName>
    <definedName name="_xlnm.Print_Area" localSheetId="37">'Uninsured By County SFY2016'!$A$2:$S$111</definedName>
    <definedName name="_xlnm.Print_Area" localSheetId="39">'Uninsured By County SFY2017'!$A$2:$S$111</definedName>
    <definedName name="_xlnm.Print_Titles" localSheetId="4">'Access 2.3'!$1:$11</definedName>
    <definedName name="_xlnm.Print_Titles" localSheetId="26">'Continuity Of Care 6.2'!$A:$A</definedName>
    <definedName name="_xlnm.Print_Titles" localSheetId="28">'Continuity Of Care 6.4'!$A:$A,'Continuity Of Care 6.4'!$1:$12</definedName>
    <definedName name="_xlnm.Print_Titles" localSheetId="29">'Continuity Of Care 6.5'!$A:$A</definedName>
    <definedName name="_xlnm.Print_Titles" localSheetId="30">'Continuity of Care 6.6'!$A:$A</definedName>
    <definedName name="_xlnm.Print_Titles" localSheetId="13">'Crisis &amp; Inpatient 5.3'!$A:$A,'Crisis &amp; Inpatient 5.3'!$1:$12</definedName>
    <definedName name="_xlnm.Print_Titles" localSheetId="14">'Crisis &amp; Inpatient 5.4'!$A:$A,'Crisis &amp; Inpatient 5.4'!$1:$12</definedName>
    <definedName name="_xlnm.Print_Titles" localSheetId="15">'Crisis &amp; Inpatient 5.5'!$A:$A,'Crisis &amp; Inpatient 5.5'!$1:$12</definedName>
    <definedName name="_xlnm.Print_Titles" localSheetId="17">'Crisis &amp; Inpatient 5.7.a'!$1:$12</definedName>
    <definedName name="_xlnm.Print_Titles" localSheetId="18">'Crisis &amp; Inpatient 5.7.b'!$1:$12</definedName>
    <definedName name="_xlnm.Print_Titles" localSheetId="19">'Crisis &amp; Inpatient 5.7.c'!$1:$12</definedName>
    <definedName name="_xlnm.Print_Titles" localSheetId="20">'Crisis &amp; Inpatient 5.7.d'!$1:$12</definedName>
    <definedName name="_xlnm.Print_Titles" localSheetId="22">'Crisis &amp; Inpatient 5.9.a'!$1:$12</definedName>
    <definedName name="_xlnm.Print_Titles" localSheetId="23">'Crisis &amp; Inpatient 5.9.b'!$1:$12</definedName>
    <definedName name="_xlnm.Print_Titles" localSheetId="24">'Crisis &amp; Inpatient 5.9.c'!$1:$12</definedName>
    <definedName name="_xlnm.Print_Titles" localSheetId="7">'Initiation-Engagement 4.1.a'!$A:$A</definedName>
    <definedName name="_xlnm.Print_Titles" localSheetId="8">'Initiation-Engagement 4.1.b'!$A:$A,'Initiation-Engagement 4.1.b'!$1:$12</definedName>
    <definedName name="_xlnm.Print_Titles" localSheetId="9">'Initiation-Engagement 4.2.a'!$A:$A</definedName>
    <definedName name="_xlnm.Print_Titles" localSheetId="10">'Initiation-Engagement 4.2.b'!$A:$A,'Initiation-Engagement 4.2.b'!$1:$12</definedName>
    <definedName name="_xlnm.Print_Titles" localSheetId="5">'Penetration 3.1'!$A:$A,'Penetration 3.1'!$1:$12</definedName>
    <definedName name="_xlnm.Print_Titles" localSheetId="6">'Penetration 3.2'!$A:$A,'Penetration 3.2'!$1:$12</definedName>
    <definedName name="_xlnm.Print_Titles" localSheetId="34">'Pivot Table-Uninsured SFY2014'!$1:$5</definedName>
    <definedName name="_xlnm.Print_Titles" localSheetId="36">'Pivot Table-Uninsured SFY2015'!$1:$5</definedName>
    <definedName name="_xlnm.Print_Titles" localSheetId="38">'Pivot Table-Uninsured SFY2016'!$1:$4</definedName>
    <definedName name="_xlnm.Print_Titles" localSheetId="40">'Pivot Table-Uninsured SFY2017'!$1:$4</definedName>
    <definedName name="_xlnm.Print_Titles" localSheetId="33">'Uninsured By County SFY2014'!$A:$A,'Uninsured By County SFY2014'!$2:$5</definedName>
    <definedName name="_xlnm.Print_Titles" localSheetId="35">'Uninsured By County SFY2015'!$A:$A,'Uninsured By County SFY2015'!$2:$5</definedName>
    <definedName name="_xlnm.Print_Titles" localSheetId="37">'Uninsured By County SFY2016'!$A:$A,'Uninsured By County SFY2016'!$2:$5</definedName>
    <definedName name="_xlnm.Print_Titles" localSheetId="39">'Uninsured By County SFY2017'!$A:$A,'Uninsured By County SFY2017'!$2:$5</definedName>
    <definedName name="SA_EBP">'Data Validation'!$A$47:$A$72</definedName>
    <definedName name="SA_EBP_Lookup">'Data Validation'!$A$47:$B$72</definedName>
    <definedName name="SA_Prevention_Pop_2014">'Data Validation'!$A$78:$G$87</definedName>
    <definedName name="SA_Prevention_Pop_2015">'Data Validation'!$A$94:$G$102</definedName>
    <definedName name="SA_Prevention_Pop_2016">'Data Validation'!$A$109:$G$116</definedName>
    <definedName name="SA_Prevention_Pop_2017">'Data Validation'!$A$123:$G$129</definedName>
    <definedName name="Uninsured_SFY2014">'Uninsured By County SFY2014'!$A$6:$V$105</definedName>
    <definedName name="Uninsured_SFY2015">'Uninsured By County SFY2015'!$A$6:$V$105</definedName>
    <definedName name="Uninsured_SFY2016">'Uninsured By County SFY2016'!$A$6:$S$105</definedName>
    <definedName name="Uninsured_SFY2017">'Uninsured By County SFY2017'!$A$6:$S$105</definedName>
  </definedNames>
  <calcPr calcId="152511"/>
  <pivotCaches>
    <pivotCache cacheId="0" r:id="rId43"/>
    <pivotCache cacheId="1" r:id="rId44"/>
    <pivotCache cacheId="2" r:id="rId45"/>
    <pivotCache cacheId="11" r:id="rId46"/>
  </pivotCaches>
</workbook>
</file>

<file path=xl/calcChain.xml><?xml version="1.0" encoding="utf-8"?>
<calcChain xmlns="http://schemas.openxmlformats.org/spreadsheetml/2006/main">
  <c r="C130" i="71" l="1"/>
  <c r="B130" i="71"/>
  <c r="F129" i="71"/>
  <c r="E129" i="71"/>
  <c r="G129" i="71" s="1"/>
  <c r="D129" i="71"/>
  <c r="F128" i="71"/>
  <c r="E128" i="71"/>
  <c r="D128" i="71"/>
  <c r="F127" i="71"/>
  <c r="E127" i="71"/>
  <c r="D127" i="71"/>
  <c r="F126" i="71"/>
  <c r="E126" i="71"/>
  <c r="D126" i="71"/>
  <c r="F125" i="71"/>
  <c r="E125" i="71"/>
  <c r="G125" i="71" s="1"/>
  <c r="D125" i="71"/>
  <c r="F124" i="71"/>
  <c r="E124" i="71"/>
  <c r="D124" i="71"/>
  <c r="F123" i="71"/>
  <c r="E123" i="71"/>
  <c r="D123" i="71"/>
  <c r="E130" i="71" l="1"/>
  <c r="G127" i="71"/>
  <c r="F130" i="71"/>
  <c r="G126" i="71"/>
  <c r="D130" i="71"/>
  <c r="G124" i="71"/>
  <c r="G128" i="71"/>
  <c r="G123" i="71"/>
  <c r="G130" i="71" l="1"/>
  <c r="H107" i="126" l="1"/>
  <c r="G107" i="126"/>
  <c r="Q105" i="126"/>
  <c r="N105" i="126"/>
  <c r="J104" i="126"/>
  <c r="S104" i="126" s="1"/>
  <c r="N104" i="126"/>
  <c r="P102" i="126"/>
  <c r="N102" i="126"/>
  <c r="N101" i="126"/>
  <c r="P101" i="126"/>
  <c r="J101" i="126"/>
  <c r="S101" i="126" s="1"/>
  <c r="J100" i="126"/>
  <c r="S100" i="126" s="1"/>
  <c r="N100" i="126"/>
  <c r="N99" i="126"/>
  <c r="P98" i="126"/>
  <c r="J98" i="126"/>
  <c r="S98" i="126" s="1"/>
  <c r="N98" i="126"/>
  <c r="N97" i="126"/>
  <c r="P97" i="126"/>
  <c r="J97" i="126"/>
  <c r="S97" i="126" s="1"/>
  <c r="J96" i="126"/>
  <c r="S96" i="126" s="1"/>
  <c r="N96" i="126"/>
  <c r="P94" i="126"/>
  <c r="N94" i="126"/>
  <c r="N93" i="126"/>
  <c r="P93" i="126"/>
  <c r="J93" i="126"/>
  <c r="S93" i="126" s="1"/>
  <c r="N92" i="126"/>
  <c r="Q91" i="126"/>
  <c r="J91" i="126"/>
  <c r="S91" i="126" s="1"/>
  <c r="N91" i="126"/>
  <c r="P90" i="126"/>
  <c r="J90" i="126"/>
  <c r="S90" i="126" s="1"/>
  <c r="N90" i="126"/>
  <c r="Q89" i="126"/>
  <c r="P89" i="126"/>
  <c r="O89" i="126"/>
  <c r="J89" i="126"/>
  <c r="N89" i="126"/>
  <c r="N88" i="126"/>
  <c r="P87" i="126"/>
  <c r="Q87" i="126"/>
  <c r="N86" i="126"/>
  <c r="Q86" i="126"/>
  <c r="J86" i="126"/>
  <c r="S86" i="126" s="1"/>
  <c r="N85" i="126"/>
  <c r="J85" i="126"/>
  <c r="S85" i="126" s="1"/>
  <c r="N84" i="126"/>
  <c r="P84" i="126"/>
  <c r="P83" i="126"/>
  <c r="Q83" i="126"/>
  <c r="P82" i="126"/>
  <c r="N82" i="126"/>
  <c r="Q81" i="126"/>
  <c r="P81" i="126"/>
  <c r="O81" i="126"/>
  <c r="J81" i="126"/>
  <c r="N81" i="126"/>
  <c r="P80" i="126"/>
  <c r="Q80" i="126"/>
  <c r="O79" i="126"/>
  <c r="J79" i="126"/>
  <c r="S79" i="126" s="1"/>
  <c r="N79" i="126"/>
  <c r="N78" i="126"/>
  <c r="P78" i="126"/>
  <c r="J78" i="126"/>
  <c r="S78" i="126" s="1"/>
  <c r="N77" i="126"/>
  <c r="J77" i="126"/>
  <c r="S77" i="126" s="1"/>
  <c r="N76" i="126"/>
  <c r="Q75" i="126"/>
  <c r="P74" i="126"/>
  <c r="O74" i="126"/>
  <c r="J74" i="126"/>
  <c r="S74" i="126" s="1"/>
  <c r="N74" i="126"/>
  <c r="Q73" i="126"/>
  <c r="P73" i="126"/>
  <c r="O73" i="126"/>
  <c r="J73" i="126"/>
  <c r="P72" i="126"/>
  <c r="Q72" i="126"/>
  <c r="N72" i="126"/>
  <c r="O71" i="126"/>
  <c r="J71" i="126"/>
  <c r="S71" i="126" s="1"/>
  <c r="N71" i="126"/>
  <c r="N70" i="126"/>
  <c r="P70" i="126"/>
  <c r="J70" i="126"/>
  <c r="S70" i="126" s="1"/>
  <c r="N69" i="126"/>
  <c r="J69" i="126"/>
  <c r="S69" i="126" s="1"/>
  <c r="N68" i="126"/>
  <c r="Q67" i="126"/>
  <c r="P66" i="126"/>
  <c r="R66" i="126" s="1"/>
  <c r="Q66" i="126"/>
  <c r="N66" i="126"/>
  <c r="Q65" i="126"/>
  <c r="P65" i="126"/>
  <c r="O65" i="126"/>
  <c r="J65" i="126"/>
  <c r="N65" i="126"/>
  <c r="P64" i="126"/>
  <c r="R64" i="126" s="1"/>
  <c r="Q64" i="126"/>
  <c r="O63" i="126"/>
  <c r="P63" i="126"/>
  <c r="J63" i="126"/>
  <c r="S63" i="126" s="1"/>
  <c r="N63" i="126"/>
  <c r="O62" i="126"/>
  <c r="Q62" i="126"/>
  <c r="J62" i="126"/>
  <c r="S62" i="126" s="1"/>
  <c r="N62" i="126"/>
  <c r="Q61" i="126"/>
  <c r="P61" i="126"/>
  <c r="R61" i="126" s="1"/>
  <c r="O61" i="126"/>
  <c r="J61" i="126"/>
  <c r="N61" i="126"/>
  <c r="P60" i="126"/>
  <c r="N60" i="126"/>
  <c r="Q59" i="126"/>
  <c r="N58" i="126"/>
  <c r="Q58" i="126"/>
  <c r="O58" i="126"/>
  <c r="N57" i="126"/>
  <c r="J57" i="126"/>
  <c r="S57" i="126" s="1"/>
  <c r="N56" i="126"/>
  <c r="J56" i="126"/>
  <c r="O56" i="126"/>
  <c r="O55" i="126"/>
  <c r="J55" i="126"/>
  <c r="S55" i="126" s="1"/>
  <c r="N55" i="126"/>
  <c r="Q54" i="126"/>
  <c r="J54" i="126"/>
  <c r="Q53" i="126"/>
  <c r="P53" i="126"/>
  <c r="O53" i="126"/>
  <c r="J53" i="126"/>
  <c r="N53" i="126"/>
  <c r="Q52" i="126"/>
  <c r="P52" i="126"/>
  <c r="N52" i="126"/>
  <c r="P51" i="126"/>
  <c r="Q51" i="126"/>
  <c r="P50" i="126"/>
  <c r="Q50" i="126"/>
  <c r="N50" i="126"/>
  <c r="Q49" i="126"/>
  <c r="P49" i="126"/>
  <c r="O49" i="126"/>
  <c r="J49" i="126"/>
  <c r="S49" i="126" s="1"/>
  <c r="N49" i="126"/>
  <c r="P48" i="126"/>
  <c r="Q48" i="126"/>
  <c r="J48" i="126"/>
  <c r="N48" i="126"/>
  <c r="Q47" i="126"/>
  <c r="J47" i="126"/>
  <c r="N47" i="126"/>
  <c r="O46" i="126"/>
  <c r="J46" i="126"/>
  <c r="S46" i="126" s="1"/>
  <c r="N46" i="126"/>
  <c r="P45" i="126"/>
  <c r="R45" i="126" s="1"/>
  <c r="Q45" i="126"/>
  <c r="J45" i="126"/>
  <c r="N45" i="126"/>
  <c r="Q44" i="126"/>
  <c r="P44" i="126"/>
  <c r="J44" i="126"/>
  <c r="N44" i="126"/>
  <c r="N43" i="126"/>
  <c r="J43" i="126"/>
  <c r="S43" i="126" s="1"/>
  <c r="O43" i="126"/>
  <c r="Q42" i="126"/>
  <c r="P42" i="126"/>
  <c r="O42" i="126"/>
  <c r="J42" i="126"/>
  <c r="S42" i="126" s="1"/>
  <c r="Q41" i="126"/>
  <c r="N41" i="126"/>
  <c r="Q40" i="126"/>
  <c r="P40" i="126"/>
  <c r="N40" i="126"/>
  <c r="N39" i="126"/>
  <c r="Q39" i="126"/>
  <c r="O39" i="126"/>
  <c r="O38" i="126"/>
  <c r="J38" i="126"/>
  <c r="S38" i="126" s="1"/>
  <c r="N38" i="126"/>
  <c r="P37" i="126"/>
  <c r="Q37" i="126"/>
  <c r="P36" i="126"/>
  <c r="O36" i="126"/>
  <c r="J36" i="126"/>
  <c r="S36" i="126" s="1"/>
  <c r="Q35" i="126"/>
  <c r="S34" i="126"/>
  <c r="O34" i="126"/>
  <c r="J34" i="126"/>
  <c r="N34" i="126"/>
  <c r="P33" i="126"/>
  <c r="R33" i="126" s="1"/>
  <c r="Q33" i="126"/>
  <c r="N33" i="126"/>
  <c r="Q32" i="126"/>
  <c r="P32" i="126"/>
  <c r="J32" i="126"/>
  <c r="N32" i="126"/>
  <c r="N31" i="126"/>
  <c r="O31" i="126"/>
  <c r="P30" i="126"/>
  <c r="O30" i="126"/>
  <c r="J30" i="126"/>
  <c r="S30" i="126" s="1"/>
  <c r="Q29" i="126"/>
  <c r="N29" i="126"/>
  <c r="Q28" i="126"/>
  <c r="P28" i="126"/>
  <c r="O28" i="126"/>
  <c r="J28" i="126"/>
  <c r="S28" i="126" s="1"/>
  <c r="N28" i="126"/>
  <c r="Q27" i="126"/>
  <c r="N27" i="126"/>
  <c r="S26" i="126"/>
  <c r="O26" i="126"/>
  <c r="J26" i="126"/>
  <c r="N26" i="126"/>
  <c r="Q25" i="126"/>
  <c r="O25" i="126"/>
  <c r="N25" i="126"/>
  <c r="P24" i="126"/>
  <c r="O24" i="126"/>
  <c r="J24" i="126"/>
  <c r="S24" i="126" s="1"/>
  <c r="Q23" i="126"/>
  <c r="O23" i="126"/>
  <c r="N23" i="126"/>
  <c r="P22" i="126"/>
  <c r="J22" i="126"/>
  <c r="S22" i="126" s="1"/>
  <c r="N22" i="126"/>
  <c r="N21" i="126"/>
  <c r="Q21" i="126"/>
  <c r="O21" i="126"/>
  <c r="Q20" i="126"/>
  <c r="S20" i="126"/>
  <c r="P20" i="126"/>
  <c r="O20" i="126"/>
  <c r="J20" i="126"/>
  <c r="N20" i="126"/>
  <c r="N19" i="126"/>
  <c r="Q19" i="126"/>
  <c r="Q18" i="126"/>
  <c r="P18" i="126"/>
  <c r="O18" i="126"/>
  <c r="J18" i="126"/>
  <c r="S18" i="126" s="1"/>
  <c r="N18" i="126"/>
  <c r="N17" i="126"/>
  <c r="Q17" i="126"/>
  <c r="J17" i="126"/>
  <c r="S17" i="126" s="1"/>
  <c r="O17" i="126"/>
  <c r="P16" i="126"/>
  <c r="O16" i="126"/>
  <c r="J16" i="126"/>
  <c r="N15" i="126"/>
  <c r="Q15" i="126"/>
  <c r="O15" i="126"/>
  <c r="Q14" i="126"/>
  <c r="P14" i="126"/>
  <c r="J14" i="126"/>
  <c r="S14" i="126" s="1"/>
  <c r="N14" i="126"/>
  <c r="N13" i="126"/>
  <c r="Q13" i="126"/>
  <c r="J13" i="126"/>
  <c r="S13" i="126" s="1"/>
  <c r="O13" i="126"/>
  <c r="Q12" i="126"/>
  <c r="P12" i="126"/>
  <c r="O12" i="126"/>
  <c r="J12" i="126"/>
  <c r="N12" i="126"/>
  <c r="Q11" i="126"/>
  <c r="N11" i="126"/>
  <c r="P10" i="126"/>
  <c r="O10" i="126"/>
  <c r="J10" i="126"/>
  <c r="S10" i="126" s="1"/>
  <c r="N10" i="126"/>
  <c r="N9" i="126"/>
  <c r="Q9" i="126"/>
  <c r="O9" i="126"/>
  <c r="P8" i="126"/>
  <c r="O8" i="126"/>
  <c r="J8" i="126"/>
  <c r="Q7" i="126"/>
  <c r="O7" i="126"/>
  <c r="N7" i="126"/>
  <c r="P6" i="126"/>
  <c r="R37" i="126" l="1"/>
  <c r="R48" i="126"/>
  <c r="R50" i="126"/>
  <c r="R83" i="126"/>
  <c r="S12" i="126"/>
  <c r="S16" i="126"/>
  <c r="P46" i="126"/>
  <c r="Q46" i="126"/>
  <c r="S8" i="126"/>
  <c r="P25" i="126"/>
  <c r="R25" i="126" s="1"/>
  <c r="P34" i="126"/>
  <c r="Q34" i="126"/>
  <c r="O37" i="126"/>
  <c r="Q43" i="126"/>
  <c r="P43" i="126"/>
  <c r="O54" i="126"/>
  <c r="P55" i="126"/>
  <c r="Q55" i="126"/>
  <c r="R55" i="126" s="1"/>
  <c r="P67" i="126"/>
  <c r="R67" i="126" s="1"/>
  <c r="P75" i="126"/>
  <c r="R75" i="126" s="1"/>
  <c r="P85" i="126"/>
  <c r="Q85" i="126"/>
  <c r="Q6" i="126"/>
  <c r="J9" i="126"/>
  <c r="S9" i="126" s="1"/>
  <c r="Q10" i="126"/>
  <c r="R14" i="126"/>
  <c r="N16" i="126"/>
  <c r="R18" i="126"/>
  <c r="J21" i="126"/>
  <c r="S21" i="126" s="1"/>
  <c r="Q22" i="126"/>
  <c r="R22" i="126" s="1"/>
  <c r="O29" i="126"/>
  <c r="J31" i="126"/>
  <c r="S31" i="126" s="1"/>
  <c r="N35" i="126"/>
  <c r="O40" i="126"/>
  <c r="O41" i="126"/>
  <c r="O50" i="126"/>
  <c r="R53" i="126"/>
  <c r="Q56" i="126"/>
  <c r="P56" i="126"/>
  <c r="J58" i="126"/>
  <c r="S58" i="126" s="1"/>
  <c r="P59" i="126"/>
  <c r="N64" i="126"/>
  <c r="N73" i="126"/>
  <c r="O82" i="126"/>
  <c r="P92" i="126"/>
  <c r="Q92" i="126"/>
  <c r="P100" i="126"/>
  <c r="Q100" i="126"/>
  <c r="P26" i="126"/>
  <c r="Q26" i="126"/>
  <c r="S54" i="126"/>
  <c r="P57" i="126"/>
  <c r="R57" i="126" s="1"/>
  <c r="Q57" i="126"/>
  <c r="P68" i="126"/>
  <c r="Q68" i="126"/>
  <c r="P76" i="126"/>
  <c r="R76" i="126" s="1"/>
  <c r="Q76" i="126"/>
  <c r="O94" i="126"/>
  <c r="J94" i="126"/>
  <c r="S94" i="126" s="1"/>
  <c r="Q99" i="126"/>
  <c r="P99" i="126"/>
  <c r="O102" i="126"/>
  <c r="J102" i="126"/>
  <c r="S102" i="126" s="1"/>
  <c r="E107" i="126"/>
  <c r="N8" i="126"/>
  <c r="R10" i="126"/>
  <c r="N24" i="126"/>
  <c r="Q31" i="126"/>
  <c r="P31" i="126"/>
  <c r="N37" i="126"/>
  <c r="P38" i="126"/>
  <c r="Q38" i="126"/>
  <c r="P69" i="126"/>
  <c r="Q69" i="126"/>
  <c r="P77" i="126"/>
  <c r="Q77" i="126"/>
  <c r="N80" i="126"/>
  <c r="P96" i="126"/>
  <c r="Q96" i="126"/>
  <c r="P104" i="126"/>
  <c r="Q104" i="126"/>
  <c r="F107" i="126"/>
  <c r="S32" i="126"/>
  <c r="O33" i="126"/>
  <c r="O35" i="126"/>
  <c r="R40" i="126"/>
  <c r="O44" i="126"/>
  <c r="S45" i="126"/>
  <c r="S47" i="126"/>
  <c r="O52" i="126"/>
  <c r="S53" i="126"/>
  <c r="O64" i="126"/>
  <c r="S65" i="126"/>
  <c r="O66" i="126"/>
  <c r="O70" i="126"/>
  <c r="O77" i="126"/>
  <c r="Q84" i="126"/>
  <c r="R84" i="126" s="1"/>
  <c r="O86" i="126"/>
  <c r="O93" i="126"/>
  <c r="Q93" i="126"/>
  <c r="N95" i="126"/>
  <c r="O97" i="126"/>
  <c r="Q97" i="126"/>
  <c r="R97" i="126" s="1"/>
  <c r="O101" i="126"/>
  <c r="Q101" i="126"/>
  <c r="R101" i="126" s="1"/>
  <c r="N103" i="126"/>
  <c r="O105" i="126"/>
  <c r="R93" i="126"/>
  <c r="O6" i="126"/>
  <c r="Q8" i="126"/>
  <c r="R8" i="126" s="1"/>
  <c r="O11" i="126"/>
  <c r="R12" i="126"/>
  <c r="O14" i="126"/>
  <c r="Q16" i="126"/>
  <c r="R16" i="126" s="1"/>
  <c r="O19" i="126"/>
  <c r="R20" i="126"/>
  <c r="O22" i="126"/>
  <c r="O27" i="126"/>
  <c r="R28" i="126"/>
  <c r="Q30" i="126"/>
  <c r="O32" i="126"/>
  <c r="J33" i="126"/>
  <c r="S33" i="126" s="1"/>
  <c r="J35" i="126"/>
  <c r="S35" i="126" s="1"/>
  <c r="Q36" i="126"/>
  <c r="J40" i="126"/>
  <c r="S40" i="126" s="1"/>
  <c r="S44" i="126"/>
  <c r="O45" i="126"/>
  <c r="O47" i="126"/>
  <c r="J52" i="126"/>
  <c r="S52" i="126" s="1"/>
  <c r="O57" i="126"/>
  <c r="O60" i="126"/>
  <c r="J64" i="126"/>
  <c r="J66" i="126"/>
  <c r="S66" i="126" s="1"/>
  <c r="O69" i="126"/>
  <c r="O78" i="126"/>
  <c r="J82" i="126"/>
  <c r="S82" i="126" s="1"/>
  <c r="O85" i="126"/>
  <c r="R89" i="126"/>
  <c r="O90" i="126"/>
  <c r="O98" i="126"/>
  <c r="J105" i="126"/>
  <c r="S105" i="126" s="1"/>
  <c r="R6" i="126"/>
  <c r="P15" i="126"/>
  <c r="R15" i="126" s="1"/>
  <c r="P19" i="126"/>
  <c r="R19" i="126" s="1"/>
  <c r="Q71" i="126"/>
  <c r="P71" i="126"/>
  <c r="Q79" i="126"/>
  <c r="P79" i="126"/>
  <c r="I107" i="126"/>
  <c r="J7" i="126"/>
  <c r="S7" i="126" s="1"/>
  <c r="P9" i="126"/>
  <c r="R9" i="126" s="1"/>
  <c r="J11" i="126"/>
  <c r="S11" i="126" s="1"/>
  <c r="P13" i="126"/>
  <c r="R13" i="126" s="1"/>
  <c r="J15" i="126"/>
  <c r="S15" i="126" s="1"/>
  <c r="P17" i="126"/>
  <c r="R17" i="126" s="1"/>
  <c r="J19" i="126"/>
  <c r="S19" i="126" s="1"/>
  <c r="P21" i="126"/>
  <c r="R21" i="126" s="1"/>
  <c r="J23" i="126"/>
  <c r="S23" i="126" s="1"/>
  <c r="J27" i="126"/>
  <c r="S27" i="126" s="1"/>
  <c r="J29" i="126"/>
  <c r="S29" i="126" s="1"/>
  <c r="J39" i="126"/>
  <c r="S39" i="126" s="1"/>
  <c r="J41" i="126"/>
  <c r="S41" i="126" s="1"/>
  <c r="R51" i="126"/>
  <c r="J59" i="126"/>
  <c r="S59" i="126" s="1"/>
  <c r="O59" i="126"/>
  <c r="J60" i="126"/>
  <c r="S60" i="126" s="1"/>
  <c r="P91" i="126"/>
  <c r="R91" i="126" s="1"/>
  <c r="Q95" i="126"/>
  <c r="P95" i="126"/>
  <c r="R95" i="126" s="1"/>
  <c r="D107" i="126"/>
  <c r="J6" i="126"/>
  <c r="N6" i="126"/>
  <c r="Q24" i="126"/>
  <c r="R24" i="126" s="1"/>
  <c r="J25" i="126"/>
  <c r="S25" i="126" s="1"/>
  <c r="P27" i="126"/>
  <c r="R27" i="126" s="1"/>
  <c r="P29" i="126"/>
  <c r="R29" i="126" s="1"/>
  <c r="N30" i="126"/>
  <c r="R30" i="126"/>
  <c r="R32" i="126"/>
  <c r="J37" i="126"/>
  <c r="S37" i="126" s="1"/>
  <c r="P39" i="126"/>
  <c r="R39" i="126" s="1"/>
  <c r="P41" i="126"/>
  <c r="R41" i="126" s="1"/>
  <c r="N42" i="126"/>
  <c r="R42" i="126"/>
  <c r="R44" i="126"/>
  <c r="J50" i="126"/>
  <c r="S50" i="126" s="1"/>
  <c r="R52" i="126"/>
  <c r="R59" i="126"/>
  <c r="Q60" i="126"/>
  <c r="R60" i="126" s="1"/>
  <c r="Q63" i="126"/>
  <c r="R63" i="126" s="1"/>
  <c r="R65" i="126"/>
  <c r="J67" i="126"/>
  <c r="S67" i="126" s="1"/>
  <c r="O67" i="126"/>
  <c r="R68" i="126"/>
  <c r="J72" i="126"/>
  <c r="S72" i="126" s="1"/>
  <c r="O72" i="126"/>
  <c r="J75" i="126"/>
  <c r="S75" i="126" s="1"/>
  <c r="O75" i="126"/>
  <c r="J80" i="126"/>
  <c r="S80" i="126" s="1"/>
  <c r="O80" i="126"/>
  <c r="J83" i="126"/>
  <c r="S83" i="126" s="1"/>
  <c r="O83" i="126"/>
  <c r="P7" i="126"/>
  <c r="R7" i="126" s="1"/>
  <c r="P11" i="126"/>
  <c r="R11" i="126" s="1"/>
  <c r="P23" i="126"/>
  <c r="R23" i="126" s="1"/>
  <c r="P35" i="126"/>
  <c r="R35" i="126" s="1"/>
  <c r="N36" i="126"/>
  <c r="R36" i="126"/>
  <c r="P47" i="126"/>
  <c r="R47" i="126" s="1"/>
  <c r="R49" i="126"/>
  <c r="J51" i="126"/>
  <c r="S51" i="126" s="1"/>
  <c r="O51" i="126"/>
  <c r="N54" i="126"/>
  <c r="P58" i="126"/>
  <c r="R58" i="126" s="1"/>
  <c r="S61" i="126"/>
  <c r="R72" i="126"/>
  <c r="R73" i="126"/>
  <c r="R80" i="126"/>
  <c r="R81" i="126"/>
  <c r="J87" i="126"/>
  <c r="S87" i="126" s="1"/>
  <c r="O87" i="126"/>
  <c r="P88" i="126"/>
  <c r="Q88" i="126"/>
  <c r="O48" i="126"/>
  <c r="N51" i="126"/>
  <c r="P54" i="126"/>
  <c r="R54" i="126" s="1"/>
  <c r="S56" i="126"/>
  <c r="N67" i="126"/>
  <c r="J68" i="126"/>
  <c r="S68" i="126" s="1"/>
  <c r="O68" i="126"/>
  <c r="S73" i="126"/>
  <c r="N83" i="126"/>
  <c r="J84" i="126"/>
  <c r="S84" i="126" s="1"/>
  <c r="O84" i="126"/>
  <c r="S48" i="126"/>
  <c r="N59" i="126"/>
  <c r="P62" i="126"/>
  <c r="R62" i="126" s="1"/>
  <c r="S64" i="126"/>
  <c r="N75" i="126"/>
  <c r="J76" i="126"/>
  <c r="S76" i="126" s="1"/>
  <c r="O76" i="126"/>
  <c r="S81" i="126"/>
  <c r="O88" i="126"/>
  <c r="J88" i="126"/>
  <c r="S88" i="126" s="1"/>
  <c r="J92" i="126"/>
  <c r="S92" i="126" s="1"/>
  <c r="O92" i="126"/>
  <c r="O99" i="126"/>
  <c r="J99" i="126"/>
  <c r="S99" i="126" s="1"/>
  <c r="Q103" i="126"/>
  <c r="P103" i="126"/>
  <c r="Q70" i="126"/>
  <c r="R70" i="126" s="1"/>
  <c r="Q74" i="126"/>
  <c r="R74" i="126" s="1"/>
  <c r="Q78" i="126"/>
  <c r="R78" i="126" s="1"/>
  <c r="Q82" i="126"/>
  <c r="R82" i="126" s="1"/>
  <c r="N87" i="126"/>
  <c r="S89" i="126"/>
  <c r="O91" i="126"/>
  <c r="P86" i="126"/>
  <c r="R86" i="126" s="1"/>
  <c r="R87" i="126"/>
  <c r="O95" i="126"/>
  <c r="J95" i="126"/>
  <c r="S95" i="126" s="1"/>
  <c r="R96" i="126"/>
  <c r="O103" i="126"/>
  <c r="J103" i="126"/>
  <c r="S103" i="126" s="1"/>
  <c r="Q90" i="126"/>
  <c r="R90" i="126" s="1"/>
  <c r="Q94" i="126"/>
  <c r="R94" i="126" s="1"/>
  <c r="O96" i="126"/>
  <c r="Q98" i="126"/>
  <c r="R98" i="126" s="1"/>
  <c r="O100" i="126"/>
  <c r="Q102" i="126"/>
  <c r="R102" i="126" s="1"/>
  <c r="O104" i="126"/>
  <c r="P105" i="126"/>
  <c r="R105" i="126" s="1"/>
  <c r="R77" i="126" l="1"/>
  <c r="R56" i="126"/>
  <c r="R38" i="126"/>
  <c r="R104" i="126"/>
  <c r="R69" i="126"/>
  <c r="R31" i="126"/>
  <c r="O107" i="126"/>
  <c r="O108" i="126" s="1"/>
  <c r="R88" i="126"/>
  <c r="R99" i="126"/>
  <c r="R26" i="126"/>
  <c r="R92" i="126"/>
  <c r="R85" i="126"/>
  <c r="R71" i="126"/>
  <c r="R100" i="126"/>
  <c r="R43" i="126"/>
  <c r="R34" i="126"/>
  <c r="R46" i="126"/>
  <c r="N107" i="126"/>
  <c r="N108" i="126" s="1"/>
  <c r="R103" i="126"/>
  <c r="R79" i="126"/>
  <c r="Q107" i="126"/>
  <c r="Q108" i="126" s="1"/>
  <c r="P107" i="126"/>
  <c r="P108" i="126" s="1"/>
  <c r="J107" i="126"/>
  <c r="S6" i="126"/>
  <c r="S107" i="126" s="1"/>
  <c r="R107" i="126" l="1"/>
  <c r="R108" i="126" s="1"/>
  <c r="S108" i="126"/>
  <c r="AM41" i="79" l="1"/>
  <c r="AN41" i="79"/>
  <c r="AL41" i="79"/>
  <c r="AJ41" i="79"/>
  <c r="AK41" i="79"/>
  <c r="AI41" i="79"/>
  <c r="AG41" i="79"/>
  <c r="AH41" i="79"/>
  <c r="AF41" i="79"/>
  <c r="AG9" i="79"/>
  <c r="AG4" i="79"/>
  <c r="AG3" i="79"/>
  <c r="X41" i="79"/>
  <c r="Y41" i="79"/>
  <c r="W41" i="79"/>
  <c r="U41" i="79"/>
  <c r="V41" i="79"/>
  <c r="T41" i="79"/>
  <c r="R41" i="79"/>
  <c r="S41" i="79"/>
  <c r="Q41" i="79"/>
  <c r="R9" i="79"/>
  <c r="R4" i="79"/>
  <c r="R3" i="79"/>
  <c r="C9" i="79"/>
  <c r="C4" i="79"/>
  <c r="C3" i="79"/>
  <c r="S105" i="124"/>
  <c r="R105" i="124"/>
  <c r="Q105" i="124"/>
  <c r="P105" i="124"/>
  <c r="O105" i="124"/>
  <c r="N105" i="124"/>
  <c r="S104" i="124"/>
  <c r="Q104" i="124"/>
  <c r="P104" i="124"/>
  <c r="R104" i="124"/>
  <c r="O104" i="124"/>
  <c r="N104" i="124"/>
  <c r="S103" i="124"/>
  <c r="R103" i="124"/>
  <c r="Q103" i="124"/>
  <c r="P103" i="124"/>
  <c r="O103" i="124"/>
  <c r="N103" i="124"/>
  <c r="S102" i="124"/>
  <c r="Q102" i="124"/>
  <c r="P102" i="124"/>
  <c r="R102" i="124"/>
  <c r="O102" i="124"/>
  <c r="N102" i="124"/>
  <c r="S101" i="124"/>
  <c r="R101" i="124"/>
  <c r="Q101" i="124"/>
  <c r="P101" i="124"/>
  <c r="O101" i="124"/>
  <c r="N101" i="124"/>
  <c r="S100" i="124"/>
  <c r="Q100" i="124"/>
  <c r="P100" i="124"/>
  <c r="R100" i="124"/>
  <c r="O100" i="124"/>
  <c r="N100" i="124"/>
  <c r="S99" i="124"/>
  <c r="R99" i="124"/>
  <c r="Q99" i="124"/>
  <c r="P99" i="124"/>
  <c r="O99" i="124"/>
  <c r="N99" i="124"/>
  <c r="S98" i="124"/>
  <c r="Q98" i="124"/>
  <c r="P98" i="124"/>
  <c r="R98" i="124"/>
  <c r="O98" i="124"/>
  <c r="N98" i="124"/>
  <c r="S97" i="124"/>
  <c r="R97" i="124"/>
  <c r="Q97" i="124"/>
  <c r="P97" i="124"/>
  <c r="O97" i="124"/>
  <c r="N97" i="124"/>
  <c r="S96" i="124"/>
  <c r="Q96" i="124"/>
  <c r="P96" i="124"/>
  <c r="R96" i="124"/>
  <c r="O96" i="124"/>
  <c r="N96" i="124"/>
  <c r="S95" i="124"/>
  <c r="R95" i="124"/>
  <c r="Q95" i="124"/>
  <c r="P95" i="124"/>
  <c r="O95" i="124"/>
  <c r="N95" i="124"/>
  <c r="S94" i="124"/>
  <c r="Q94" i="124"/>
  <c r="P94" i="124"/>
  <c r="R94" i="124"/>
  <c r="O94" i="124"/>
  <c r="N94" i="124"/>
  <c r="S93" i="124"/>
  <c r="R93" i="124"/>
  <c r="Q93" i="124"/>
  <c r="P93" i="124"/>
  <c r="O93" i="124"/>
  <c r="N93" i="124"/>
  <c r="S92" i="124"/>
  <c r="Q92" i="124"/>
  <c r="P92" i="124"/>
  <c r="R92" i="124"/>
  <c r="O92" i="124"/>
  <c r="N92" i="124"/>
  <c r="S91" i="124"/>
  <c r="R91" i="124"/>
  <c r="Q91" i="124"/>
  <c r="P91" i="124"/>
  <c r="O91" i="124"/>
  <c r="N91" i="124"/>
  <c r="S90" i="124"/>
  <c r="Q90" i="124"/>
  <c r="P90" i="124"/>
  <c r="R90" i="124"/>
  <c r="O90" i="124"/>
  <c r="N90" i="124"/>
  <c r="S89" i="124"/>
  <c r="R89" i="124"/>
  <c r="Q89" i="124"/>
  <c r="P89" i="124"/>
  <c r="O89" i="124"/>
  <c r="N89" i="124"/>
  <c r="S88" i="124"/>
  <c r="Q88" i="124"/>
  <c r="P88" i="124"/>
  <c r="R88" i="124"/>
  <c r="O88" i="124"/>
  <c r="N88" i="124"/>
  <c r="S87" i="124"/>
  <c r="R87" i="124"/>
  <c r="Q87" i="124"/>
  <c r="P87" i="124"/>
  <c r="O87" i="124"/>
  <c r="N87" i="124"/>
  <c r="S86" i="124"/>
  <c r="Q86" i="124"/>
  <c r="P86" i="124"/>
  <c r="R86" i="124"/>
  <c r="O86" i="124"/>
  <c r="N86" i="124"/>
  <c r="S85" i="124"/>
  <c r="R85" i="124"/>
  <c r="Q85" i="124"/>
  <c r="P85" i="124"/>
  <c r="O85" i="124"/>
  <c r="N85" i="124"/>
  <c r="S84" i="124"/>
  <c r="Q84" i="124"/>
  <c r="P84" i="124"/>
  <c r="R84" i="124"/>
  <c r="O84" i="124"/>
  <c r="N84" i="124"/>
  <c r="S83" i="124"/>
  <c r="R83" i="124"/>
  <c r="Q83" i="124"/>
  <c r="P83" i="124"/>
  <c r="O83" i="124"/>
  <c r="N83" i="124"/>
  <c r="S82" i="124"/>
  <c r="Q82" i="124"/>
  <c r="P82" i="124"/>
  <c r="R82" i="124"/>
  <c r="O82" i="124"/>
  <c r="N82" i="124"/>
  <c r="S81" i="124"/>
  <c r="R81" i="124"/>
  <c r="Q81" i="124"/>
  <c r="P81" i="124"/>
  <c r="O81" i="124"/>
  <c r="N81" i="124"/>
  <c r="S80" i="124"/>
  <c r="Q80" i="124"/>
  <c r="P80" i="124"/>
  <c r="R80" i="124"/>
  <c r="O80" i="124"/>
  <c r="N80" i="124"/>
  <c r="S79" i="124"/>
  <c r="R79" i="124"/>
  <c r="Q79" i="124"/>
  <c r="P79" i="124"/>
  <c r="O79" i="124"/>
  <c r="N79" i="124"/>
  <c r="S78" i="124"/>
  <c r="Q78" i="124"/>
  <c r="P78" i="124"/>
  <c r="R78" i="124"/>
  <c r="O78" i="124"/>
  <c r="N78" i="124"/>
  <c r="S77" i="124"/>
  <c r="R77" i="124"/>
  <c r="Q77" i="124"/>
  <c r="P77" i="124"/>
  <c r="O77" i="124"/>
  <c r="N77" i="124"/>
  <c r="S76" i="124"/>
  <c r="Q76" i="124"/>
  <c r="P76" i="124"/>
  <c r="R76" i="124"/>
  <c r="O76" i="124"/>
  <c r="N76" i="124"/>
  <c r="S75" i="124"/>
  <c r="R75" i="124"/>
  <c r="Q75" i="124"/>
  <c r="P75" i="124"/>
  <c r="O75" i="124"/>
  <c r="N75" i="124"/>
  <c r="S74" i="124"/>
  <c r="Q74" i="124"/>
  <c r="P74" i="124"/>
  <c r="R74" i="124"/>
  <c r="O74" i="124"/>
  <c r="N74" i="124"/>
  <c r="S73" i="124"/>
  <c r="R73" i="124"/>
  <c r="Q73" i="124"/>
  <c r="P73" i="124"/>
  <c r="O73" i="124"/>
  <c r="N73" i="124"/>
  <c r="S72" i="124"/>
  <c r="Q72" i="124"/>
  <c r="P72" i="124"/>
  <c r="R72" i="124"/>
  <c r="O72" i="124"/>
  <c r="N72" i="124"/>
  <c r="S71" i="124"/>
  <c r="R71" i="124"/>
  <c r="Q71" i="124"/>
  <c r="P71" i="124"/>
  <c r="O71" i="124"/>
  <c r="N71" i="124"/>
  <c r="S70" i="124"/>
  <c r="Q70" i="124"/>
  <c r="P70" i="124"/>
  <c r="R70" i="124"/>
  <c r="O70" i="124"/>
  <c r="N70" i="124"/>
  <c r="S69" i="124"/>
  <c r="R69" i="124"/>
  <c r="Q69" i="124"/>
  <c r="P69" i="124"/>
  <c r="O69" i="124"/>
  <c r="N69" i="124"/>
  <c r="S68" i="124"/>
  <c r="Q68" i="124"/>
  <c r="P68" i="124"/>
  <c r="R68" i="124"/>
  <c r="O68" i="124"/>
  <c r="N68" i="124"/>
  <c r="S67" i="124"/>
  <c r="R67" i="124"/>
  <c r="Q67" i="124"/>
  <c r="P67" i="124"/>
  <c r="O67" i="124"/>
  <c r="N67" i="124"/>
  <c r="S66" i="124"/>
  <c r="Q66" i="124"/>
  <c r="P66" i="124"/>
  <c r="R66" i="124"/>
  <c r="O66" i="124"/>
  <c r="N66" i="124"/>
  <c r="S65" i="124"/>
  <c r="R65" i="124"/>
  <c r="Q65" i="124"/>
  <c r="P65" i="124"/>
  <c r="O65" i="124"/>
  <c r="N65" i="124"/>
  <c r="S64" i="124"/>
  <c r="Q64" i="124"/>
  <c r="P64" i="124"/>
  <c r="R64" i="124"/>
  <c r="O64" i="124"/>
  <c r="N64" i="124"/>
  <c r="S63" i="124"/>
  <c r="R63" i="124"/>
  <c r="Q63" i="124"/>
  <c r="P63" i="124"/>
  <c r="O63" i="124"/>
  <c r="N63" i="124"/>
  <c r="S62" i="124"/>
  <c r="Q62" i="124"/>
  <c r="P62" i="124"/>
  <c r="R62" i="124"/>
  <c r="O62" i="124"/>
  <c r="N62" i="124"/>
  <c r="S61" i="124"/>
  <c r="R61" i="124"/>
  <c r="Q61" i="124"/>
  <c r="P61" i="124"/>
  <c r="O61" i="124"/>
  <c r="N61" i="124"/>
  <c r="S60" i="124"/>
  <c r="Q60" i="124"/>
  <c r="P60" i="124"/>
  <c r="R60" i="124"/>
  <c r="O60" i="124"/>
  <c r="N60" i="124"/>
  <c r="S59" i="124"/>
  <c r="R59" i="124"/>
  <c r="Q59" i="124"/>
  <c r="P59" i="124"/>
  <c r="O59" i="124"/>
  <c r="N59" i="124"/>
  <c r="S58" i="124"/>
  <c r="Q58" i="124"/>
  <c r="P58" i="124"/>
  <c r="R58" i="124"/>
  <c r="O58" i="124"/>
  <c r="N58" i="124"/>
  <c r="S57" i="124"/>
  <c r="R57" i="124"/>
  <c r="Q57" i="124"/>
  <c r="P57" i="124"/>
  <c r="O57" i="124"/>
  <c r="N57" i="124"/>
  <c r="S56" i="124"/>
  <c r="Q56" i="124"/>
  <c r="P56" i="124"/>
  <c r="R56" i="124"/>
  <c r="O56" i="124"/>
  <c r="N56" i="124"/>
  <c r="S55" i="124"/>
  <c r="R55" i="124"/>
  <c r="Q55" i="124"/>
  <c r="P55" i="124"/>
  <c r="O55" i="124"/>
  <c r="N55" i="124"/>
  <c r="S54" i="124"/>
  <c r="Q54" i="124"/>
  <c r="P54" i="124"/>
  <c r="R54" i="124"/>
  <c r="O54" i="124"/>
  <c r="N54" i="124"/>
  <c r="S53" i="124"/>
  <c r="R53" i="124"/>
  <c r="Q53" i="124"/>
  <c r="P53" i="124"/>
  <c r="O53" i="124"/>
  <c r="N53" i="124"/>
  <c r="S52" i="124"/>
  <c r="Q52" i="124"/>
  <c r="P52" i="124"/>
  <c r="R52" i="124"/>
  <c r="O52" i="124"/>
  <c r="N52" i="124"/>
  <c r="S51" i="124"/>
  <c r="R51" i="124"/>
  <c r="Q51" i="124"/>
  <c r="P51" i="124"/>
  <c r="O51" i="124"/>
  <c r="N51" i="124"/>
  <c r="S50" i="124"/>
  <c r="Q50" i="124"/>
  <c r="P50" i="124"/>
  <c r="R50" i="124"/>
  <c r="O50" i="124"/>
  <c r="N50" i="124"/>
  <c r="S49" i="124"/>
  <c r="R49" i="124"/>
  <c r="Q49" i="124"/>
  <c r="P49" i="124"/>
  <c r="O49" i="124"/>
  <c r="N49" i="124"/>
  <c r="S48" i="124"/>
  <c r="Q48" i="124"/>
  <c r="P48" i="124"/>
  <c r="R48" i="124"/>
  <c r="O48" i="124"/>
  <c r="N48" i="124"/>
  <c r="S47" i="124"/>
  <c r="R47" i="124"/>
  <c r="Q47" i="124"/>
  <c r="P47" i="124"/>
  <c r="O47" i="124"/>
  <c r="N47" i="124"/>
  <c r="S46" i="124"/>
  <c r="Q46" i="124"/>
  <c r="P46" i="124"/>
  <c r="R46" i="124"/>
  <c r="O46" i="124"/>
  <c r="N46" i="124"/>
  <c r="S45" i="124"/>
  <c r="R45" i="124"/>
  <c r="Q45" i="124"/>
  <c r="P45" i="124"/>
  <c r="O45" i="124"/>
  <c r="N45" i="124"/>
  <c r="S44" i="124"/>
  <c r="Q44" i="124"/>
  <c r="P44" i="124"/>
  <c r="R44" i="124"/>
  <c r="O44" i="124"/>
  <c r="N44" i="124"/>
  <c r="S43" i="124"/>
  <c r="R43" i="124"/>
  <c r="Q43" i="124"/>
  <c r="P43" i="124"/>
  <c r="O43" i="124"/>
  <c r="N43" i="124"/>
  <c r="S42" i="124"/>
  <c r="Q42" i="124"/>
  <c r="P42" i="124"/>
  <c r="R42" i="124"/>
  <c r="O42" i="124"/>
  <c r="N42" i="124"/>
  <c r="S41" i="124"/>
  <c r="R41" i="124"/>
  <c r="Q41" i="124"/>
  <c r="P41" i="124"/>
  <c r="O41" i="124"/>
  <c r="N41" i="124"/>
  <c r="S40" i="124"/>
  <c r="Q40" i="124"/>
  <c r="P40" i="124"/>
  <c r="R40" i="124"/>
  <c r="O40" i="124"/>
  <c r="N40" i="124"/>
  <c r="S39" i="124"/>
  <c r="R39" i="124"/>
  <c r="Q39" i="124"/>
  <c r="P39" i="124"/>
  <c r="O39" i="124"/>
  <c r="N39" i="124"/>
  <c r="S38" i="124"/>
  <c r="Q38" i="124"/>
  <c r="P38" i="124"/>
  <c r="R38" i="124"/>
  <c r="O38" i="124"/>
  <c r="N38" i="124"/>
  <c r="S37" i="124"/>
  <c r="R37" i="124"/>
  <c r="Q37" i="124"/>
  <c r="P37" i="124"/>
  <c r="O37" i="124"/>
  <c r="N37" i="124"/>
  <c r="S36" i="124"/>
  <c r="Q36" i="124"/>
  <c r="P36" i="124"/>
  <c r="R36" i="124"/>
  <c r="O36" i="124"/>
  <c r="N36" i="124"/>
  <c r="S35" i="124"/>
  <c r="R35" i="124"/>
  <c r="Q35" i="124"/>
  <c r="P35" i="124"/>
  <c r="O35" i="124"/>
  <c r="N35" i="124"/>
  <c r="S34" i="124"/>
  <c r="Q34" i="124"/>
  <c r="P34" i="124"/>
  <c r="R34" i="124"/>
  <c r="O34" i="124"/>
  <c r="N34" i="124"/>
  <c r="S33" i="124"/>
  <c r="R33" i="124"/>
  <c r="Q33" i="124"/>
  <c r="P33" i="124"/>
  <c r="O33" i="124"/>
  <c r="N33" i="124"/>
  <c r="S32" i="124"/>
  <c r="Q32" i="124"/>
  <c r="P32" i="124"/>
  <c r="R32" i="124"/>
  <c r="O32" i="124"/>
  <c r="N32" i="124"/>
  <c r="S31" i="124"/>
  <c r="R31" i="124"/>
  <c r="Q31" i="124"/>
  <c r="P31" i="124"/>
  <c r="O31" i="124"/>
  <c r="N31" i="124"/>
  <c r="S30" i="124"/>
  <c r="Q30" i="124"/>
  <c r="P30" i="124"/>
  <c r="R30" i="124"/>
  <c r="O30" i="124"/>
  <c r="N30" i="124"/>
  <c r="S29" i="124"/>
  <c r="R29" i="124"/>
  <c r="Q29" i="124"/>
  <c r="P29" i="124"/>
  <c r="O29" i="124"/>
  <c r="N29" i="124"/>
  <c r="S28" i="124"/>
  <c r="Q28" i="124"/>
  <c r="P28" i="124"/>
  <c r="R28" i="124"/>
  <c r="O28" i="124"/>
  <c r="N28" i="124"/>
  <c r="S27" i="124"/>
  <c r="R27" i="124"/>
  <c r="Q27" i="124"/>
  <c r="P27" i="124"/>
  <c r="O27" i="124"/>
  <c r="N27" i="124"/>
  <c r="S26" i="124"/>
  <c r="Q26" i="124"/>
  <c r="P26" i="124"/>
  <c r="R26" i="124"/>
  <c r="O26" i="124"/>
  <c r="N26" i="124"/>
  <c r="S25" i="124"/>
  <c r="R25" i="124"/>
  <c r="Q25" i="124"/>
  <c r="P25" i="124"/>
  <c r="O25" i="124"/>
  <c r="N25" i="124"/>
  <c r="S24" i="124"/>
  <c r="Q24" i="124"/>
  <c r="P24" i="124"/>
  <c r="R24" i="124"/>
  <c r="O24" i="124"/>
  <c r="N24" i="124"/>
  <c r="S23" i="124"/>
  <c r="R23" i="124"/>
  <c r="Q23" i="124"/>
  <c r="P23" i="124"/>
  <c r="O23" i="124"/>
  <c r="N23" i="124"/>
  <c r="S22" i="124"/>
  <c r="Q22" i="124"/>
  <c r="P22" i="124"/>
  <c r="R22" i="124"/>
  <c r="O22" i="124"/>
  <c r="N22" i="124"/>
  <c r="S21" i="124"/>
  <c r="R21" i="124"/>
  <c r="Q21" i="124"/>
  <c r="P21" i="124"/>
  <c r="O21" i="124"/>
  <c r="N21" i="124"/>
  <c r="S20" i="124"/>
  <c r="Q20" i="124"/>
  <c r="P20" i="124"/>
  <c r="R20" i="124"/>
  <c r="O20" i="124"/>
  <c r="N20" i="124"/>
  <c r="S19" i="124"/>
  <c r="R19" i="124"/>
  <c r="Q19" i="124"/>
  <c r="P19" i="124"/>
  <c r="O19" i="124"/>
  <c r="N19" i="124"/>
  <c r="S18" i="124"/>
  <c r="Q18" i="124"/>
  <c r="P18" i="124"/>
  <c r="R18" i="124"/>
  <c r="O18" i="124"/>
  <c r="N18" i="124"/>
  <c r="S17" i="124"/>
  <c r="R17" i="124"/>
  <c r="Q17" i="124"/>
  <c r="P17" i="124"/>
  <c r="O17" i="124"/>
  <c r="N17" i="124"/>
  <c r="S16" i="124"/>
  <c r="Q16" i="124"/>
  <c r="P16" i="124"/>
  <c r="R16" i="124"/>
  <c r="O16" i="124"/>
  <c r="N16" i="124"/>
  <c r="S15" i="124"/>
  <c r="R15" i="124"/>
  <c r="Q15" i="124"/>
  <c r="P15" i="124"/>
  <c r="O15" i="124"/>
  <c r="N15" i="124"/>
  <c r="S14" i="124"/>
  <c r="Q14" i="124"/>
  <c r="P14" i="124"/>
  <c r="R14" i="124"/>
  <c r="O14" i="124"/>
  <c r="N14" i="124"/>
  <c r="S13" i="124"/>
  <c r="R13" i="124"/>
  <c r="Q13" i="124"/>
  <c r="P13" i="124"/>
  <c r="O13" i="124"/>
  <c r="N13" i="124"/>
  <c r="S12" i="124"/>
  <c r="Q12" i="124"/>
  <c r="P12" i="124"/>
  <c r="R12" i="124"/>
  <c r="O12" i="124"/>
  <c r="N12" i="124"/>
  <c r="S11" i="124"/>
  <c r="R11" i="124"/>
  <c r="Q11" i="124"/>
  <c r="P11" i="124"/>
  <c r="O11" i="124"/>
  <c r="N11" i="124"/>
  <c r="S10" i="124"/>
  <c r="Q10" i="124"/>
  <c r="P10" i="124"/>
  <c r="R10" i="124"/>
  <c r="O10" i="124"/>
  <c r="N10" i="124"/>
  <c r="S9" i="124"/>
  <c r="R9" i="124"/>
  <c r="Q9" i="124"/>
  <c r="P9" i="124"/>
  <c r="O9" i="124"/>
  <c r="N9" i="124"/>
  <c r="S8" i="124"/>
  <c r="Q8" i="124"/>
  <c r="P8" i="124"/>
  <c r="R8" i="124"/>
  <c r="O8" i="124"/>
  <c r="N8" i="124"/>
  <c r="S7" i="124"/>
  <c r="R7" i="124"/>
  <c r="Q7" i="124"/>
  <c r="P7" i="124"/>
  <c r="O7" i="124"/>
  <c r="N7" i="124"/>
  <c r="S6" i="124"/>
  <c r="Q6" i="124"/>
  <c r="P6" i="124"/>
  <c r="R6" i="124"/>
  <c r="O6" i="124"/>
  <c r="N6" i="124"/>
  <c r="H107" i="124"/>
  <c r="G107" i="124"/>
  <c r="J104" i="124"/>
  <c r="J103" i="124"/>
  <c r="J102" i="124"/>
  <c r="J100" i="124"/>
  <c r="J99" i="124"/>
  <c r="J98" i="124"/>
  <c r="J96" i="124"/>
  <c r="J95" i="124"/>
  <c r="J94" i="124"/>
  <c r="J92" i="124"/>
  <c r="J91" i="124"/>
  <c r="J90" i="124"/>
  <c r="J88" i="124"/>
  <c r="J87" i="124"/>
  <c r="J86" i="124"/>
  <c r="J84" i="124"/>
  <c r="J83" i="124"/>
  <c r="J82" i="124"/>
  <c r="J80" i="124"/>
  <c r="J79" i="124"/>
  <c r="J78" i="124"/>
  <c r="J76" i="124"/>
  <c r="J75" i="124"/>
  <c r="J74" i="124"/>
  <c r="J72" i="124"/>
  <c r="J70" i="124"/>
  <c r="J68" i="124"/>
  <c r="J66" i="124"/>
  <c r="J65" i="124"/>
  <c r="J64" i="124"/>
  <c r="J63" i="124"/>
  <c r="J62" i="124"/>
  <c r="J61" i="124"/>
  <c r="J60" i="124"/>
  <c r="J59" i="124"/>
  <c r="J58" i="124"/>
  <c r="J57" i="124"/>
  <c r="J56" i="124"/>
  <c r="J55" i="124"/>
  <c r="J54" i="124"/>
  <c r="J53" i="124"/>
  <c r="J52" i="124"/>
  <c r="J51" i="124"/>
  <c r="J50" i="124"/>
  <c r="J49" i="124"/>
  <c r="J48" i="124"/>
  <c r="J47" i="124"/>
  <c r="J46" i="124"/>
  <c r="J45" i="124"/>
  <c r="J44" i="124"/>
  <c r="J43" i="124"/>
  <c r="J42" i="124"/>
  <c r="J41" i="124"/>
  <c r="J40" i="124"/>
  <c r="J39" i="124"/>
  <c r="J38" i="124"/>
  <c r="J37" i="124"/>
  <c r="J36" i="124"/>
  <c r="J35" i="124"/>
  <c r="J34" i="124"/>
  <c r="J33" i="124"/>
  <c r="J32" i="124"/>
  <c r="J31" i="124"/>
  <c r="J30" i="124"/>
  <c r="J29" i="124"/>
  <c r="J28" i="124"/>
  <c r="J27" i="124"/>
  <c r="J26" i="124"/>
  <c r="J25" i="124"/>
  <c r="J24" i="124"/>
  <c r="J23" i="124"/>
  <c r="J22" i="124"/>
  <c r="J21" i="124"/>
  <c r="J20" i="124"/>
  <c r="J19" i="124"/>
  <c r="J18" i="124"/>
  <c r="J17" i="124"/>
  <c r="J16" i="124"/>
  <c r="J15" i="124"/>
  <c r="J14" i="124"/>
  <c r="J13" i="124"/>
  <c r="J12" i="124"/>
  <c r="J11" i="124"/>
  <c r="J10" i="124"/>
  <c r="J9" i="124"/>
  <c r="J8" i="124"/>
  <c r="J7" i="124"/>
  <c r="J6" i="124"/>
  <c r="E107" i="124"/>
  <c r="I107" i="124"/>
  <c r="D107" i="124"/>
  <c r="J71" i="124"/>
  <c r="J77" i="124"/>
  <c r="J93" i="124"/>
  <c r="J73" i="124"/>
  <c r="J89" i="124"/>
  <c r="J105" i="124"/>
  <c r="P107" i="124"/>
  <c r="P108" i="124"/>
  <c r="J67" i="124"/>
  <c r="J85" i="124"/>
  <c r="J101" i="124"/>
  <c r="N107" i="124"/>
  <c r="N108" i="124"/>
  <c r="Q107" i="124"/>
  <c r="Q108" i="124"/>
  <c r="J69" i="124"/>
  <c r="J81" i="124"/>
  <c r="J97" i="124"/>
  <c r="F107" i="124"/>
  <c r="J107" i="124"/>
  <c r="O107" i="124"/>
  <c r="O108" i="124"/>
  <c r="S107" i="124"/>
  <c r="S108" i="124"/>
  <c r="R107" i="124"/>
  <c r="R108" i="124"/>
  <c r="H4" i="104"/>
  <c r="I7" i="104" s="1"/>
  <c r="F116" i="71"/>
  <c r="E116" i="71"/>
  <c r="F115" i="71"/>
  <c r="E115" i="71"/>
  <c r="F114" i="71"/>
  <c r="E114" i="71"/>
  <c r="F113" i="71"/>
  <c r="E113" i="71"/>
  <c r="F112" i="71"/>
  <c r="E112" i="71"/>
  <c r="F111" i="71"/>
  <c r="E111" i="71"/>
  <c r="F110" i="71"/>
  <c r="E110" i="71"/>
  <c r="F109" i="71"/>
  <c r="E109" i="71"/>
  <c r="F102" i="71"/>
  <c r="E102" i="71"/>
  <c r="F101" i="71"/>
  <c r="E101" i="71"/>
  <c r="F100" i="71"/>
  <c r="E100" i="71"/>
  <c r="F99" i="71"/>
  <c r="E99" i="71"/>
  <c r="F98" i="71"/>
  <c r="E98" i="71"/>
  <c r="F97" i="71"/>
  <c r="E97" i="71"/>
  <c r="F96" i="71"/>
  <c r="E96" i="71"/>
  <c r="F95" i="71"/>
  <c r="E95" i="71"/>
  <c r="F94" i="71"/>
  <c r="E94" i="71"/>
  <c r="J7" i="29"/>
  <c r="C117" i="71"/>
  <c r="B117" i="71"/>
  <c r="D115" i="71"/>
  <c r="D114" i="71"/>
  <c r="D113" i="71"/>
  <c r="D112" i="71"/>
  <c r="D116" i="71"/>
  <c r="D111" i="71"/>
  <c r="D110" i="71"/>
  <c r="D109" i="71"/>
  <c r="C103" i="71"/>
  <c r="B103" i="71"/>
  <c r="C88" i="71"/>
  <c r="B88" i="71"/>
  <c r="D102" i="71"/>
  <c r="D101" i="71"/>
  <c r="D100" i="71"/>
  <c r="D99" i="71"/>
  <c r="D98" i="71"/>
  <c r="D97" i="71"/>
  <c r="D96" i="71"/>
  <c r="D95" i="71"/>
  <c r="D94" i="71"/>
  <c r="N107" i="120"/>
  <c r="M107" i="120"/>
  <c r="L107" i="120"/>
  <c r="J107" i="120"/>
  <c r="I107" i="120"/>
  <c r="H107" i="120"/>
  <c r="G107" i="120"/>
  <c r="F107" i="120"/>
  <c r="E107" i="120"/>
  <c r="D107" i="120"/>
  <c r="B107" i="120"/>
  <c r="T105" i="120"/>
  <c r="R105" i="120"/>
  <c r="Q105" i="120"/>
  <c r="S105" i="120"/>
  <c r="U105" i="120"/>
  <c r="P105" i="120"/>
  <c r="O105" i="120"/>
  <c r="K105" i="120"/>
  <c r="T104" i="120"/>
  <c r="R104" i="120"/>
  <c r="Q104" i="120"/>
  <c r="P104" i="120"/>
  <c r="O104" i="120"/>
  <c r="K104" i="120"/>
  <c r="T103" i="120"/>
  <c r="R103" i="120"/>
  <c r="Q103" i="120"/>
  <c r="P103" i="120"/>
  <c r="O103" i="120"/>
  <c r="K103" i="120"/>
  <c r="T102" i="120"/>
  <c r="R102" i="120"/>
  <c r="Q102" i="120"/>
  <c r="P102" i="120"/>
  <c r="O102" i="120"/>
  <c r="K102" i="120"/>
  <c r="T101" i="120"/>
  <c r="R101" i="120"/>
  <c r="Q101" i="120"/>
  <c r="P101" i="120"/>
  <c r="O101" i="120"/>
  <c r="K101" i="120"/>
  <c r="T100" i="120"/>
  <c r="R100" i="120"/>
  <c r="Q100" i="120"/>
  <c r="P100" i="120"/>
  <c r="O100" i="120"/>
  <c r="K100" i="120"/>
  <c r="T99" i="120"/>
  <c r="R99" i="120"/>
  <c r="Q99" i="120"/>
  <c r="P99" i="120"/>
  <c r="O99" i="120"/>
  <c r="K99" i="120"/>
  <c r="T98" i="120"/>
  <c r="R98" i="120"/>
  <c r="Q98" i="120"/>
  <c r="P98" i="120"/>
  <c r="O98" i="120"/>
  <c r="K98" i="120"/>
  <c r="T97" i="120"/>
  <c r="R97" i="120"/>
  <c r="Q97" i="120"/>
  <c r="P97" i="120"/>
  <c r="O97" i="120"/>
  <c r="K97" i="120"/>
  <c r="T96" i="120"/>
  <c r="R96" i="120"/>
  <c r="Q96" i="120"/>
  <c r="P96" i="120"/>
  <c r="O96" i="120"/>
  <c r="K96" i="120"/>
  <c r="T95" i="120"/>
  <c r="R95" i="120"/>
  <c r="Q95" i="120"/>
  <c r="P95" i="120"/>
  <c r="O95" i="120"/>
  <c r="K95" i="120"/>
  <c r="T94" i="120"/>
  <c r="R94" i="120"/>
  <c r="Q94" i="120"/>
  <c r="P94" i="120"/>
  <c r="O94" i="120"/>
  <c r="K94" i="120"/>
  <c r="T93" i="120"/>
  <c r="R93" i="120"/>
  <c r="Q93" i="120"/>
  <c r="P93" i="120"/>
  <c r="O93" i="120"/>
  <c r="K93" i="120"/>
  <c r="T92" i="120"/>
  <c r="R92" i="120"/>
  <c r="Q92" i="120"/>
  <c r="P92" i="120"/>
  <c r="O92" i="120"/>
  <c r="K92" i="120"/>
  <c r="T91" i="120"/>
  <c r="R91" i="120"/>
  <c r="Q91" i="120"/>
  <c r="P91" i="120"/>
  <c r="O91" i="120"/>
  <c r="K91" i="120"/>
  <c r="T90" i="120"/>
  <c r="R90" i="120"/>
  <c r="Q90" i="120"/>
  <c r="P90" i="120"/>
  <c r="O90" i="120"/>
  <c r="K90" i="120"/>
  <c r="T89" i="120"/>
  <c r="R89" i="120"/>
  <c r="Q89" i="120"/>
  <c r="P89" i="120"/>
  <c r="O89" i="120"/>
  <c r="K89" i="120"/>
  <c r="T88" i="120"/>
  <c r="R88" i="120"/>
  <c r="Q88" i="120"/>
  <c r="P88" i="120"/>
  <c r="O88" i="120"/>
  <c r="K88" i="120"/>
  <c r="T87" i="120"/>
  <c r="R87" i="120"/>
  <c r="Q87" i="120"/>
  <c r="P87" i="120"/>
  <c r="O87" i="120"/>
  <c r="K87" i="120"/>
  <c r="T86" i="120"/>
  <c r="R86" i="120"/>
  <c r="Q86" i="120"/>
  <c r="P86" i="120"/>
  <c r="O86" i="120"/>
  <c r="K86" i="120"/>
  <c r="T85" i="120"/>
  <c r="R85" i="120"/>
  <c r="Q85" i="120"/>
  <c r="P85" i="120"/>
  <c r="O85" i="120"/>
  <c r="K85" i="120"/>
  <c r="T84" i="120"/>
  <c r="R84" i="120"/>
  <c r="Q84" i="120"/>
  <c r="P84" i="120"/>
  <c r="O84" i="120"/>
  <c r="K84" i="120"/>
  <c r="T83" i="120"/>
  <c r="R83" i="120"/>
  <c r="Q83" i="120"/>
  <c r="P83" i="120"/>
  <c r="O83" i="120"/>
  <c r="K83" i="120"/>
  <c r="T82" i="120"/>
  <c r="R82" i="120"/>
  <c r="S82" i="120"/>
  <c r="Q82" i="120"/>
  <c r="P82" i="120"/>
  <c r="O82" i="120"/>
  <c r="K82" i="120"/>
  <c r="T81" i="120"/>
  <c r="R81" i="120"/>
  <c r="Q81" i="120"/>
  <c r="P81" i="120"/>
  <c r="O81" i="120"/>
  <c r="K81" i="120"/>
  <c r="T80" i="120"/>
  <c r="R80" i="120"/>
  <c r="Q80" i="120"/>
  <c r="P80" i="120"/>
  <c r="O80" i="120"/>
  <c r="K80" i="120"/>
  <c r="T79" i="120"/>
  <c r="R79" i="120"/>
  <c r="Q79" i="120"/>
  <c r="P79" i="120"/>
  <c r="O79" i="120"/>
  <c r="K79" i="120"/>
  <c r="T78" i="120"/>
  <c r="R78" i="120"/>
  <c r="S78" i="120"/>
  <c r="U78" i="120"/>
  <c r="Q78" i="120"/>
  <c r="P78" i="120"/>
  <c r="O78" i="120"/>
  <c r="K78" i="120"/>
  <c r="T77" i="120"/>
  <c r="R77" i="120"/>
  <c r="Q77" i="120"/>
  <c r="S77" i="120"/>
  <c r="U77" i="120"/>
  <c r="P77" i="120"/>
  <c r="O77" i="120"/>
  <c r="K77" i="120"/>
  <c r="T76" i="120"/>
  <c r="R76" i="120"/>
  <c r="Q76" i="120"/>
  <c r="P76" i="120"/>
  <c r="O76" i="120"/>
  <c r="K76" i="120"/>
  <c r="T75" i="120"/>
  <c r="R75" i="120"/>
  <c r="Q75" i="120"/>
  <c r="P75" i="120"/>
  <c r="O75" i="120"/>
  <c r="K75" i="120"/>
  <c r="T74" i="120"/>
  <c r="R74" i="120"/>
  <c r="Q74" i="120"/>
  <c r="P74" i="120"/>
  <c r="O74" i="120"/>
  <c r="K74" i="120"/>
  <c r="T73" i="120"/>
  <c r="R73" i="120"/>
  <c r="Q73" i="120"/>
  <c r="P73" i="120"/>
  <c r="O73" i="120"/>
  <c r="K73" i="120"/>
  <c r="T72" i="120"/>
  <c r="R72" i="120"/>
  <c r="Q72" i="120"/>
  <c r="P72" i="120"/>
  <c r="O72" i="120"/>
  <c r="K72" i="120"/>
  <c r="T71" i="120"/>
  <c r="R71" i="120"/>
  <c r="Q71" i="120"/>
  <c r="P71" i="120"/>
  <c r="O71" i="120"/>
  <c r="K71" i="120"/>
  <c r="T70" i="120"/>
  <c r="R70" i="120"/>
  <c r="Q70" i="120"/>
  <c r="P70" i="120"/>
  <c r="O70" i="120"/>
  <c r="K70" i="120"/>
  <c r="T69" i="120"/>
  <c r="R69" i="120"/>
  <c r="Q69" i="120"/>
  <c r="P69" i="120"/>
  <c r="O69" i="120"/>
  <c r="K69" i="120"/>
  <c r="T68" i="120"/>
  <c r="R68" i="120"/>
  <c r="Q68" i="120"/>
  <c r="P68" i="120"/>
  <c r="O68" i="120"/>
  <c r="K68" i="120"/>
  <c r="T67" i="120"/>
  <c r="R67" i="120"/>
  <c r="Q67" i="120"/>
  <c r="P67" i="120"/>
  <c r="O67" i="120"/>
  <c r="K67" i="120"/>
  <c r="T66" i="120"/>
  <c r="R66" i="120"/>
  <c r="S66" i="120"/>
  <c r="U66" i="120"/>
  <c r="Q66" i="120"/>
  <c r="P66" i="120"/>
  <c r="O66" i="120"/>
  <c r="K66" i="120"/>
  <c r="T65" i="120"/>
  <c r="R65" i="120"/>
  <c r="Q65" i="120"/>
  <c r="P65" i="120"/>
  <c r="O65" i="120"/>
  <c r="K65" i="120"/>
  <c r="T64" i="120"/>
  <c r="R64" i="120"/>
  <c r="Q64" i="120"/>
  <c r="P64" i="120"/>
  <c r="O64" i="120"/>
  <c r="K64" i="120"/>
  <c r="T63" i="120"/>
  <c r="R63" i="120"/>
  <c r="Q63" i="120"/>
  <c r="P63" i="120"/>
  <c r="O63" i="120"/>
  <c r="K63" i="120"/>
  <c r="T62" i="120"/>
  <c r="R62" i="120"/>
  <c r="S62" i="120"/>
  <c r="U62" i="120"/>
  <c r="Q62" i="120"/>
  <c r="P62" i="120"/>
  <c r="O62" i="120"/>
  <c r="K62" i="120"/>
  <c r="T61" i="120"/>
  <c r="R61" i="120"/>
  <c r="Q61" i="120"/>
  <c r="S61" i="120"/>
  <c r="U61" i="120"/>
  <c r="P61" i="120"/>
  <c r="O61" i="120"/>
  <c r="K61" i="120"/>
  <c r="T60" i="120"/>
  <c r="R60" i="120"/>
  <c r="Q60" i="120"/>
  <c r="P60" i="120"/>
  <c r="O60" i="120"/>
  <c r="K60" i="120"/>
  <c r="T59" i="120"/>
  <c r="R59" i="120"/>
  <c r="Q59" i="120"/>
  <c r="P59" i="120"/>
  <c r="O59" i="120"/>
  <c r="K59" i="120"/>
  <c r="T58" i="120"/>
  <c r="R58" i="120"/>
  <c r="Q58" i="120"/>
  <c r="P58" i="120"/>
  <c r="O58" i="120"/>
  <c r="K58" i="120"/>
  <c r="T57" i="120"/>
  <c r="R57" i="120"/>
  <c r="Q57" i="120"/>
  <c r="P57" i="120"/>
  <c r="O57" i="120"/>
  <c r="K57" i="120"/>
  <c r="T56" i="120"/>
  <c r="R56" i="120"/>
  <c r="Q56" i="120"/>
  <c r="P56" i="120"/>
  <c r="O56" i="120"/>
  <c r="K56" i="120"/>
  <c r="T55" i="120"/>
  <c r="R55" i="120"/>
  <c r="Q55" i="120"/>
  <c r="P55" i="120"/>
  <c r="O55" i="120"/>
  <c r="K55" i="120"/>
  <c r="T54" i="120"/>
  <c r="R54" i="120"/>
  <c r="Q54" i="120"/>
  <c r="P54" i="120"/>
  <c r="O54" i="120"/>
  <c r="K54" i="120"/>
  <c r="T53" i="120"/>
  <c r="R53" i="120"/>
  <c r="Q53" i="120"/>
  <c r="S53" i="120"/>
  <c r="P53" i="120"/>
  <c r="O53" i="120"/>
  <c r="K53" i="120"/>
  <c r="T52" i="120"/>
  <c r="R52" i="120"/>
  <c r="Q52" i="120"/>
  <c r="P52" i="120"/>
  <c r="O52" i="120"/>
  <c r="K52" i="120"/>
  <c r="T51" i="120"/>
  <c r="R51" i="120"/>
  <c r="Q51" i="120"/>
  <c r="P51" i="120"/>
  <c r="O51" i="120"/>
  <c r="K51" i="120"/>
  <c r="T50" i="120"/>
  <c r="R50" i="120"/>
  <c r="S50" i="120"/>
  <c r="U50" i="120"/>
  <c r="Q50" i="120"/>
  <c r="P50" i="120"/>
  <c r="O50" i="120"/>
  <c r="K50" i="120"/>
  <c r="T49" i="120"/>
  <c r="R49" i="120"/>
  <c r="Q49" i="120"/>
  <c r="S49" i="120"/>
  <c r="U49" i="120"/>
  <c r="P49" i="120"/>
  <c r="V49" i="120"/>
  <c r="O49" i="120"/>
  <c r="K49" i="120"/>
  <c r="T48" i="120"/>
  <c r="R48" i="120"/>
  <c r="Q48" i="120"/>
  <c r="P48" i="120"/>
  <c r="O48" i="120"/>
  <c r="K48" i="120"/>
  <c r="T47" i="120"/>
  <c r="R47" i="120"/>
  <c r="Q47" i="120"/>
  <c r="P47" i="120"/>
  <c r="O47" i="120"/>
  <c r="K47" i="120"/>
  <c r="T46" i="120"/>
  <c r="S46" i="120"/>
  <c r="U46" i="120"/>
  <c r="R46" i="120"/>
  <c r="Q46" i="120"/>
  <c r="P46" i="120"/>
  <c r="O46" i="120"/>
  <c r="K46" i="120"/>
  <c r="T45" i="120"/>
  <c r="R45" i="120"/>
  <c r="Q45" i="120"/>
  <c r="S45" i="120"/>
  <c r="P45" i="120"/>
  <c r="O45" i="120"/>
  <c r="K45" i="120"/>
  <c r="T44" i="120"/>
  <c r="R44" i="120"/>
  <c r="Q44" i="120"/>
  <c r="P44" i="120"/>
  <c r="O44" i="120"/>
  <c r="K44" i="120"/>
  <c r="T43" i="120"/>
  <c r="R43" i="120"/>
  <c r="Q43" i="120"/>
  <c r="P43" i="120"/>
  <c r="O43" i="120"/>
  <c r="K43" i="120"/>
  <c r="T42" i="120"/>
  <c r="R42" i="120"/>
  <c r="Q42" i="120"/>
  <c r="P42" i="120"/>
  <c r="O42" i="120"/>
  <c r="K42" i="120"/>
  <c r="T41" i="120"/>
  <c r="R41" i="120"/>
  <c r="Q41" i="120"/>
  <c r="P41" i="120"/>
  <c r="O41" i="120"/>
  <c r="K41" i="120"/>
  <c r="T40" i="120"/>
  <c r="R40" i="120"/>
  <c r="Q40" i="120"/>
  <c r="P40" i="120"/>
  <c r="O40" i="120"/>
  <c r="K40" i="120"/>
  <c r="T39" i="120"/>
  <c r="R39" i="120"/>
  <c r="Q39" i="120"/>
  <c r="P39" i="120"/>
  <c r="O39" i="120"/>
  <c r="K39" i="120"/>
  <c r="T38" i="120"/>
  <c r="R38" i="120"/>
  <c r="Q38" i="120"/>
  <c r="P38" i="120"/>
  <c r="O38" i="120"/>
  <c r="K38" i="120"/>
  <c r="T37" i="120"/>
  <c r="R37" i="120"/>
  <c r="Q37" i="120"/>
  <c r="S37" i="120"/>
  <c r="P37" i="120"/>
  <c r="O37" i="120"/>
  <c r="K37" i="120"/>
  <c r="T36" i="120"/>
  <c r="R36" i="120"/>
  <c r="Q36" i="120"/>
  <c r="P36" i="120"/>
  <c r="O36" i="120"/>
  <c r="K36" i="120"/>
  <c r="T35" i="120"/>
  <c r="R35" i="120"/>
  <c r="Q35" i="120"/>
  <c r="P35" i="120"/>
  <c r="O35" i="120"/>
  <c r="K35" i="120"/>
  <c r="T34" i="120"/>
  <c r="R34" i="120"/>
  <c r="S34" i="120"/>
  <c r="Q34" i="120"/>
  <c r="P34" i="120"/>
  <c r="O34" i="120"/>
  <c r="K34" i="120"/>
  <c r="T33" i="120"/>
  <c r="R33" i="120"/>
  <c r="Q33" i="120"/>
  <c r="P33" i="120"/>
  <c r="O33" i="120"/>
  <c r="K33" i="120"/>
  <c r="T32" i="120"/>
  <c r="R32" i="120"/>
  <c r="Q32" i="120"/>
  <c r="P32" i="120"/>
  <c r="O32" i="120"/>
  <c r="K32" i="120"/>
  <c r="T31" i="120"/>
  <c r="R31" i="120"/>
  <c r="Q31" i="120"/>
  <c r="P31" i="120"/>
  <c r="O31" i="120"/>
  <c r="K31" i="120"/>
  <c r="T30" i="120"/>
  <c r="R30" i="120"/>
  <c r="Q30" i="120"/>
  <c r="P30" i="120"/>
  <c r="O30" i="120"/>
  <c r="K30" i="120"/>
  <c r="T29" i="120"/>
  <c r="R29" i="120"/>
  <c r="Q29" i="120"/>
  <c r="P29" i="120"/>
  <c r="O29" i="120"/>
  <c r="K29" i="120"/>
  <c r="T28" i="120"/>
  <c r="R28" i="120"/>
  <c r="Q28" i="120"/>
  <c r="P28" i="120"/>
  <c r="O28" i="120"/>
  <c r="K28" i="120"/>
  <c r="T27" i="120"/>
  <c r="R27" i="120"/>
  <c r="Q27" i="120"/>
  <c r="P27" i="120"/>
  <c r="O27" i="120"/>
  <c r="K27" i="120"/>
  <c r="T26" i="120"/>
  <c r="R26" i="120"/>
  <c r="Q26" i="120"/>
  <c r="P26" i="120"/>
  <c r="O26" i="120"/>
  <c r="K26" i="120"/>
  <c r="T25" i="120"/>
  <c r="R25" i="120"/>
  <c r="Q25" i="120"/>
  <c r="P25" i="120"/>
  <c r="O25" i="120"/>
  <c r="K25" i="120"/>
  <c r="T24" i="120"/>
  <c r="R24" i="120"/>
  <c r="Q24" i="120"/>
  <c r="P24" i="120"/>
  <c r="O24" i="120"/>
  <c r="K24" i="120"/>
  <c r="T23" i="120"/>
  <c r="R23" i="120"/>
  <c r="Q23" i="120"/>
  <c r="P23" i="120"/>
  <c r="O23" i="120"/>
  <c r="K23" i="120"/>
  <c r="T22" i="120"/>
  <c r="R22" i="120"/>
  <c r="Q22" i="120"/>
  <c r="P22" i="120"/>
  <c r="O22" i="120"/>
  <c r="K22" i="120"/>
  <c r="T21" i="120"/>
  <c r="R21" i="120"/>
  <c r="Q21" i="120"/>
  <c r="S21" i="120"/>
  <c r="P21" i="120"/>
  <c r="O21" i="120"/>
  <c r="K21" i="120"/>
  <c r="T20" i="120"/>
  <c r="R20" i="120"/>
  <c r="Q20" i="120"/>
  <c r="P20" i="120"/>
  <c r="O20" i="120"/>
  <c r="K20" i="120"/>
  <c r="T19" i="120"/>
  <c r="R19" i="120"/>
  <c r="Q19" i="120"/>
  <c r="P19" i="120"/>
  <c r="O19" i="120"/>
  <c r="K19" i="120"/>
  <c r="T18" i="120"/>
  <c r="R18" i="120"/>
  <c r="Q18" i="120"/>
  <c r="S18" i="120"/>
  <c r="P18" i="120"/>
  <c r="O18" i="120"/>
  <c r="K18" i="120"/>
  <c r="T17" i="120"/>
  <c r="R17" i="120"/>
  <c r="Q17" i="120"/>
  <c r="P17" i="120"/>
  <c r="O17" i="120"/>
  <c r="K17" i="120"/>
  <c r="T16" i="120"/>
  <c r="R16" i="120"/>
  <c r="Q16" i="120"/>
  <c r="P16" i="120"/>
  <c r="O16" i="120"/>
  <c r="K16" i="120"/>
  <c r="T15" i="120"/>
  <c r="R15" i="120"/>
  <c r="S15" i="120"/>
  <c r="U15" i="120"/>
  <c r="V15" i="120"/>
  <c r="Q15" i="120"/>
  <c r="P15" i="120"/>
  <c r="O15" i="120"/>
  <c r="K15" i="120"/>
  <c r="T14" i="120"/>
  <c r="R14" i="120"/>
  <c r="Q14" i="120"/>
  <c r="P14" i="120"/>
  <c r="O14" i="120"/>
  <c r="K14" i="120"/>
  <c r="T13" i="120"/>
  <c r="R13" i="120"/>
  <c r="Q13" i="120"/>
  <c r="P13" i="120"/>
  <c r="O13" i="120"/>
  <c r="K13" i="120"/>
  <c r="T12" i="120"/>
  <c r="R12" i="120"/>
  <c r="Q12" i="120"/>
  <c r="P12" i="120"/>
  <c r="O12" i="120"/>
  <c r="K12" i="120"/>
  <c r="T11" i="120"/>
  <c r="R11" i="120"/>
  <c r="S11" i="120"/>
  <c r="U11" i="120"/>
  <c r="V11" i="120"/>
  <c r="Q11" i="120"/>
  <c r="P11" i="120"/>
  <c r="O11" i="120"/>
  <c r="K11" i="120"/>
  <c r="T10" i="120"/>
  <c r="R10" i="120"/>
  <c r="Q10" i="120"/>
  <c r="P10" i="120"/>
  <c r="O10" i="120"/>
  <c r="K10" i="120"/>
  <c r="T9" i="120"/>
  <c r="S9" i="120"/>
  <c r="U9" i="120"/>
  <c r="R9" i="120"/>
  <c r="Q9" i="120"/>
  <c r="P9" i="120"/>
  <c r="O9" i="120"/>
  <c r="K9" i="120"/>
  <c r="T8" i="120"/>
  <c r="R8" i="120"/>
  <c r="Q8" i="120"/>
  <c r="P8" i="120"/>
  <c r="O8" i="120"/>
  <c r="K8" i="120"/>
  <c r="T7" i="120"/>
  <c r="R7" i="120"/>
  <c r="S7" i="120"/>
  <c r="Q7" i="120"/>
  <c r="P7" i="120"/>
  <c r="O7" i="120"/>
  <c r="K7" i="120"/>
  <c r="T6" i="120"/>
  <c r="R6" i="120"/>
  <c r="Q6" i="120"/>
  <c r="P6" i="120"/>
  <c r="O6" i="120"/>
  <c r="K6" i="120"/>
  <c r="S6" i="120"/>
  <c r="S23" i="120"/>
  <c r="S39" i="120"/>
  <c r="V105" i="120"/>
  <c r="S68" i="120"/>
  <c r="S70" i="120"/>
  <c r="U70" i="120"/>
  <c r="V70" i="120"/>
  <c r="S72" i="120"/>
  <c r="S74" i="120"/>
  <c r="S76" i="120"/>
  <c r="S84" i="120"/>
  <c r="U84" i="120"/>
  <c r="V84" i="120"/>
  <c r="S86" i="120"/>
  <c r="S88" i="120"/>
  <c r="S90" i="120"/>
  <c r="S98" i="120"/>
  <c r="U98" i="120"/>
  <c r="V98" i="120"/>
  <c r="S19" i="120"/>
  <c r="O107" i="120"/>
  <c r="O108" i="120"/>
  <c r="S10" i="120"/>
  <c r="U10" i="120"/>
  <c r="V10" i="120"/>
  <c r="S14" i="120"/>
  <c r="U14" i="120"/>
  <c r="S47" i="120"/>
  <c r="U47" i="120"/>
  <c r="S55" i="120"/>
  <c r="U55" i="120"/>
  <c r="V55" i="120"/>
  <c r="S71" i="120"/>
  <c r="U71" i="120"/>
  <c r="V71" i="120"/>
  <c r="S87" i="120"/>
  <c r="U87" i="120"/>
  <c r="V87" i="120"/>
  <c r="S99" i="120"/>
  <c r="U99" i="120"/>
  <c r="S103" i="120"/>
  <c r="U103" i="120"/>
  <c r="U45" i="120"/>
  <c r="U82" i="120"/>
  <c r="U19" i="120"/>
  <c r="V19" i="120"/>
  <c r="U23" i="120"/>
  <c r="V23" i="120"/>
  <c r="U39" i="120"/>
  <c r="V39" i="120"/>
  <c r="U7" i="120"/>
  <c r="V7" i="120"/>
  <c r="U18" i="120"/>
  <c r="U34" i="120"/>
  <c r="V34" i="120"/>
  <c r="U68" i="120"/>
  <c r="V68" i="120"/>
  <c r="U72" i="120"/>
  <c r="U74" i="120"/>
  <c r="V74" i="120"/>
  <c r="U86" i="120"/>
  <c r="U88" i="120"/>
  <c r="U90" i="120"/>
  <c r="S17" i="120"/>
  <c r="S52" i="120"/>
  <c r="U52" i="120"/>
  <c r="V52" i="120"/>
  <c r="S54" i="120"/>
  <c r="U54" i="120"/>
  <c r="S56" i="120"/>
  <c r="U56" i="120"/>
  <c r="S58" i="120"/>
  <c r="U58" i="120"/>
  <c r="S60" i="120"/>
  <c r="U60" i="120"/>
  <c r="V60" i="120"/>
  <c r="S81" i="120"/>
  <c r="U81" i="120"/>
  <c r="S85" i="120"/>
  <c r="S91" i="120"/>
  <c r="U91" i="120"/>
  <c r="V91" i="120"/>
  <c r="S93" i="120"/>
  <c r="U93" i="120"/>
  <c r="V93" i="120"/>
  <c r="S95" i="120"/>
  <c r="U95" i="120"/>
  <c r="S97" i="120"/>
  <c r="S22" i="120"/>
  <c r="U22" i="120"/>
  <c r="S24" i="120"/>
  <c r="U24" i="120"/>
  <c r="V24" i="120"/>
  <c r="S26" i="120"/>
  <c r="U26" i="120"/>
  <c r="S30" i="120"/>
  <c r="U30" i="120"/>
  <c r="S32" i="120"/>
  <c r="U32" i="120"/>
  <c r="V32" i="120"/>
  <c r="S36" i="120"/>
  <c r="U36" i="120"/>
  <c r="V36" i="120"/>
  <c r="S38" i="120"/>
  <c r="U38" i="120"/>
  <c r="S42" i="120"/>
  <c r="U42" i="120"/>
  <c r="S44" i="120"/>
  <c r="U44" i="120"/>
  <c r="V44" i="120"/>
  <c r="S65" i="120"/>
  <c r="U65" i="120"/>
  <c r="V65" i="120"/>
  <c r="S69" i="120"/>
  <c r="V81" i="120"/>
  <c r="S102" i="120"/>
  <c r="U102" i="120"/>
  <c r="V102" i="120"/>
  <c r="U21" i="120"/>
  <c r="U37" i="120"/>
  <c r="V47" i="120"/>
  <c r="U53" i="120"/>
  <c r="S63" i="120"/>
  <c r="U63" i="120"/>
  <c r="V63" i="120"/>
  <c r="U69" i="120"/>
  <c r="V69" i="120"/>
  <c r="U76" i="120"/>
  <c r="V76" i="120"/>
  <c r="S79" i="120"/>
  <c r="U79" i="120"/>
  <c r="V79" i="120"/>
  <c r="U85" i="120"/>
  <c r="U97" i="120"/>
  <c r="V97" i="120"/>
  <c r="S100" i="120"/>
  <c r="U100" i="120"/>
  <c r="V100" i="120"/>
  <c r="S13" i="120"/>
  <c r="U13" i="120"/>
  <c r="S20" i="120"/>
  <c r="U20" i="120"/>
  <c r="V20" i="120"/>
  <c r="S27" i="120"/>
  <c r="U27" i="120"/>
  <c r="V27" i="120"/>
  <c r="S29" i="120"/>
  <c r="S35" i="120"/>
  <c r="U35" i="120"/>
  <c r="V35" i="120"/>
  <c r="V38" i="120"/>
  <c r="S41" i="120"/>
  <c r="U41" i="120"/>
  <c r="V41" i="120"/>
  <c r="V45" i="120"/>
  <c r="S48" i="120"/>
  <c r="U48" i="120"/>
  <c r="V48" i="120"/>
  <c r="S51" i="120"/>
  <c r="U51" i="120"/>
  <c r="V51" i="120"/>
  <c r="V54" i="120"/>
  <c r="S57" i="120"/>
  <c r="U57" i="120"/>
  <c r="V61" i="120"/>
  <c r="S64" i="120"/>
  <c r="U64" i="120"/>
  <c r="V64" i="120"/>
  <c r="S67" i="120"/>
  <c r="U67" i="120"/>
  <c r="V67" i="120"/>
  <c r="S73" i="120"/>
  <c r="U73" i="120"/>
  <c r="V77" i="120"/>
  <c r="S80" i="120"/>
  <c r="U80" i="120"/>
  <c r="V80" i="120"/>
  <c r="S83" i="120"/>
  <c r="U83" i="120"/>
  <c r="V83" i="120"/>
  <c r="V86" i="120"/>
  <c r="S89" i="120"/>
  <c r="U89" i="120"/>
  <c r="S92" i="120"/>
  <c r="U92" i="120"/>
  <c r="V92" i="120"/>
  <c r="S94" i="120"/>
  <c r="U94" i="120"/>
  <c r="S101" i="120"/>
  <c r="U101" i="120"/>
  <c r="V101" i="120"/>
  <c r="S104" i="120"/>
  <c r="U104" i="120"/>
  <c r="V104" i="120"/>
  <c r="V30" i="120"/>
  <c r="P107" i="120"/>
  <c r="P108" i="120"/>
  <c r="T107" i="120"/>
  <c r="T108" i="120"/>
  <c r="S12" i="120"/>
  <c r="U12" i="120"/>
  <c r="V12" i="120"/>
  <c r="S16" i="120"/>
  <c r="U16" i="120"/>
  <c r="V16" i="120"/>
  <c r="V21" i="120"/>
  <c r="S25" i="120"/>
  <c r="U25" i="120"/>
  <c r="V25" i="120"/>
  <c r="S28" i="120"/>
  <c r="U28" i="120"/>
  <c r="V28" i="120"/>
  <c r="S31" i="120"/>
  <c r="U31" i="120"/>
  <c r="V31" i="120"/>
  <c r="S33" i="120"/>
  <c r="U33" i="120"/>
  <c r="V33" i="120"/>
  <c r="V37" i="120"/>
  <c r="S40" i="120"/>
  <c r="U40" i="120"/>
  <c r="V40" i="120"/>
  <c r="S43" i="120"/>
  <c r="U43" i="120"/>
  <c r="V43" i="120"/>
  <c r="V53" i="120"/>
  <c r="V56" i="120"/>
  <c r="S59" i="120"/>
  <c r="U59" i="120"/>
  <c r="V59" i="120"/>
  <c r="V72" i="120"/>
  <c r="S75" i="120"/>
  <c r="U75" i="120"/>
  <c r="V75" i="120"/>
  <c r="V85" i="120"/>
  <c r="V88" i="120"/>
  <c r="S96" i="120"/>
  <c r="U96" i="120"/>
  <c r="V96" i="120"/>
  <c r="V9" i="120"/>
  <c r="U17" i="120"/>
  <c r="V17" i="120"/>
  <c r="V22" i="120"/>
  <c r="K107" i="120"/>
  <c r="R107" i="120"/>
  <c r="R108" i="120"/>
  <c r="S8" i="120"/>
  <c r="U8" i="120"/>
  <c r="V8" i="120"/>
  <c r="V13" i="120"/>
  <c r="V14" i="120"/>
  <c r="V18" i="120"/>
  <c r="U29" i="120"/>
  <c r="V29" i="120"/>
  <c r="V50" i="120"/>
  <c r="V57" i="120"/>
  <c r="V66" i="120"/>
  <c r="V73" i="120"/>
  <c r="V82" i="120"/>
  <c r="V89" i="120"/>
  <c r="V94" i="120"/>
  <c r="V103" i="120"/>
  <c r="V26" i="120"/>
  <c r="V42" i="120"/>
  <c r="V58" i="120"/>
  <c r="V90" i="120"/>
  <c r="V95" i="120"/>
  <c r="U6" i="120"/>
  <c r="Q107" i="120"/>
  <c r="Q108" i="120"/>
  <c r="V46" i="120"/>
  <c r="V62" i="120"/>
  <c r="V78" i="120"/>
  <c r="V99" i="120"/>
  <c r="S107" i="120"/>
  <c r="S108" i="120"/>
  <c r="U107" i="120"/>
  <c r="U108" i="120"/>
  <c r="V6" i="120"/>
  <c r="V107" i="120"/>
  <c r="V108" i="120"/>
  <c r="V19" i="119"/>
  <c r="U19" i="119"/>
  <c r="V18" i="119"/>
  <c r="U18" i="119"/>
  <c r="V17" i="119"/>
  <c r="U17" i="119"/>
  <c r="O19" i="119"/>
  <c r="N19" i="119"/>
  <c r="O18" i="119"/>
  <c r="N18" i="119"/>
  <c r="O17" i="119"/>
  <c r="N17" i="119"/>
  <c r="V19" i="33"/>
  <c r="U19" i="33"/>
  <c r="V18" i="33"/>
  <c r="U18" i="33"/>
  <c r="V17" i="33"/>
  <c r="U17" i="33"/>
  <c r="O19" i="33"/>
  <c r="N19" i="33"/>
  <c r="O18" i="33"/>
  <c r="N18" i="33"/>
  <c r="O17" i="33"/>
  <c r="N17" i="33"/>
  <c r="T21" i="119"/>
  <c r="S21" i="119"/>
  <c r="R21" i="119"/>
  <c r="Q21" i="119"/>
  <c r="P21" i="119"/>
  <c r="M21" i="119"/>
  <c r="L21" i="119"/>
  <c r="K21" i="119"/>
  <c r="J21" i="119"/>
  <c r="I21" i="119"/>
  <c r="G21" i="119"/>
  <c r="F21" i="119"/>
  <c r="E21" i="119"/>
  <c r="D21" i="119"/>
  <c r="C21" i="119"/>
  <c r="B21" i="119"/>
  <c r="T20" i="119"/>
  <c r="S20" i="119"/>
  <c r="R20" i="119"/>
  <c r="Q20" i="119"/>
  <c r="P20" i="119"/>
  <c r="M20" i="119"/>
  <c r="L20" i="119"/>
  <c r="K20" i="119"/>
  <c r="J20" i="119"/>
  <c r="I20" i="119"/>
  <c r="F20" i="119"/>
  <c r="E20" i="119"/>
  <c r="D20" i="119"/>
  <c r="C20" i="119"/>
  <c r="B20" i="119"/>
  <c r="H19" i="119"/>
  <c r="G19" i="119"/>
  <c r="H18" i="119"/>
  <c r="G18" i="119"/>
  <c r="H17" i="119"/>
  <c r="G17" i="119"/>
  <c r="S11" i="119"/>
  <c r="L11" i="119"/>
  <c r="E11" i="119"/>
  <c r="Q10" i="119"/>
  <c r="J10" i="119"/>
  <c r="C9" i="119"/>
  <c r="J9" i="119" s="1"/>
  <c r="C4" i="119"/>
  <c r="J4" i="119" s="1"/>
  <c r="C3" i="119"/>
  <c r="Q3" i="119" s="1"/>
  <c r="E11" i="33"/>
  <c r="Q10" i="33"/>
  <c r="J10" i="33"/>
  <c r="T21" i="33"/>
  <c r="S21" i="33"/>
  <c r="R21" i="33"/>
  <c r="Q21" i="33"/>
  <c r="P21" i="33"/>
  <c r="T20" i="33"/>
  <c r="S20" i="33"/>
  <c r="R20" i="33"/>
  <c r="Q20" i="33"/>
  <c r="P20" i="33"/>
  <c r="S11" i="33"/>
  <c r="M21" i="33"/>
  <c r="L21" i="33"/>
  <c r="K21" i="33"/>
  <c r="J21" i="33"/>
  <c r="I21" i="33"/>
  <c r="M20" i="33"/>
  <c r="L20" i="33"/>
  <c r="K20" i="33"/>
  <c r="J20" i="33"/>
  <c r="I20" i="33"/>
  <c r="L11" i="33"/>
  <c r="V20" i="119"/>
  <c r="U20" i="119"/>
  <c r="V21" i="119"/>
  <c r="U21" i="119"/>
  <c r="O21" i="33"/>
  <c r="N21" i="33"/>
  <c r="V20" i="33"/>
  <c r="U20" i="33"/>
  <c r="O20" i="119"/>
  <c r="N20" i="119"/>
  <c r="O21" i="119"/>
  <c r="N21" i="119"/>
  <c r="O20" i="33"/>
  <c r="N20" i="33"/>
  <c r="V21" i="33"/>
  <c r="U21" i="33"/>
  <c r="H20" i="119"/>
  <c r="H21" i="119"/>
  <c r="G20" i="119"/>
  <c r="S40" i="118"/>
  <c r="L40" i="118"/>
  <c r="E40" i="118"/>
  <c r="U40" i="118"/>
  <c r="T40" i="118"/>
  <c r="R40" i="118"/>
  <c r="Q40" i="118"/>
  <c r="P40" i="118"/>
  <c r="N40" i="118"/>
  <c r="O40" i="118"/>
  <c r="M40" i="118"/>
  <c r="K40" i="118"/>
  <c r="J40" i="118"/>
  <c r="I40" i="118"/>
  <c r="G40" i="118"/>
  <c r="H40" i="118"/>
  <c r="F40" i="118"/>
  <c r="D40" i="118"/>
  <c r="C40" i="118"/>
  <c r="B40" i="118"/>
  <c r="Q10" i="118"/>
  <c r="J10" i="118"/>
  <c r="C9" i="118"/>
  <c r="A39" i="118" s="1"/>
  <c r="V39" i="118" s="1"/>
  <c r="C4" i="118"/>
  <c r="J4" i="118" s="1"/>
  <c r="C3" i="118"/>
  <c r="J3" i="118" s="1"/>
  <c r="V40" i="118"/>
  <c r="T104" i="117"/>
  <c r="V104" i="117"/>
  <c r="S104" i="117"/>
  <c r="R104" i="117"/>
  <c r="Q104" i="117"/>
  <c r="P104" i="117"/>
  <c r="M104" i="117"/>
  <c r="N104" i="117"/>
  <c r="L104" i="117"/>
  <c r="K104" i="117"/>
  <c r="J104" i="117"/>
  <c r="I104" i="117"/>
  <c r="F104" i="117"/>
  <c r="H104" i="117"/>
  <c r="E104" i="117"/>
  <c r="D104" i="117"/>
  <c r="C104" i="117"/>
  <c r="B104" i="117"/>
  <c r="T73" i="117"/>
  <c r="V73" i="117"/>
  <c r="S73" i="117"/>
  <c r="R73" i="117"/>
  <c r="Q73" i="117"/>
  <c r="P73" i="117"/>
  <c r="M73" i="117"/>
  <c r="N73" i="117"/>
  <c r="L73" i="117"/>
  <c r="K73" i="117"/>
  <c r="J73" i="117"/>
  <c r="I73" i="117"/>
  <c r="F73" i="117"/>
  <c r="H73" i="117"/>
  <c r="E73" i="117"/>
  <c r="D73" i="117"/>
  <c r="C73" i="117"/>
  <c r="B73" i="117"/>
  <c r="T42" i="117"/>
  <c r="V42" i="117"/>
  <c r="S42" i="117"/>
  <c r="R42" i="117"/>
  <c r="Q42" i="117"/>
  <c r="P42" i="117"/>
  <c r="M42" i="117"/>
  <c r="O42" i="117"/>
  <c r="L42" i="117"/>
  <c r="K42" i="117"/>
  <c r="J42" i="117"/>
  <c r="I42" i="117"/>
  <c r="F42" i="117"/>
  <c r="H42" i="117"/>
  <c r="E42" i="117"/>
  <c r="D42" i="117"/>
  <c r="C42" i="117"/>
  <c r="B42" i="117"/>
  <c r="Q10" i="117"/>
  <c r="J10" i="117"/>
  <c r="C9" i="117"/>
  <c r="A89" i="117" s="1"/>
  <c r="O89" i="117" s="1"/>
  <c r="C4" i="117"/>
  <c r="J4" i="117" s="1"/>
  <c r="C3" i="117"/>
  <c r="Q3" i="117" s="1"/>
  <c r="Q10" i="72"/>
  <c r="J10" i="72"/>
  <c r="T40" i="72"/>
  <c r="U40" i="72"/>
  <c r="S40" i="72"/>
  <c r="R40" i="72"/>
  <c r="Q40" i="72"/>
  <c r="P40" i="72"/>
  <c r="M40" i="72"/>
  <c r="N40" i="72"/>
  <c r="L40" i="72"/>
  <c r="K40" i="72"/>
  <c r="J40" i="72"/>
  <c r="I40" i="72"/>
  <c r="G104" i="117"/>
  <c r="O104" i="117"/>
  <c r="U73" i="117"/>
  <c r="O40" i="72"/>
  <c r="U104" i="117"/>
  <c r="G73" i="117"/>
  <c r="O73" i="117"/>
  <c r="N42" i="117"/>
  <c r="U42" i="117"/>
  <c r="V40" i="72"/>
  <c r="G42" i="117"/>
  <c r="F40" i="72"/>
  <c r="E40" i="72"/>
  <c r="D40" i="72"/>
  <c r="C40" i="72"/>
  <c r="B40" i="72"/>
  <c r="G40" i="72"/>
  <c r="H40" i="72"/>
  <c r="C9" i="116"/>
  <c r="C4" i="116"/>
  <c r="C3" i="116"/>
  <c r="C9" i="115"/>
  <c r="C4" i="115"/>
  <c r="C3" i="115"/>
  <c r="I40" i="114"/>
  <c r="J40" i="114"/>
  <c r="H40" i="114"/>
  <c r="F40" i="114"/>
  <c r="G40" i="114"/>
  <c r="E40" i="114"/>
  <c r="C40" i="114"/>
  <c r="D40" i="114"/>
  <c r="B40" i="114"/>
  <c r="C9" i="114"/>
  <c r="A19" i="114" s="1"/>
  <c r="C4" i="114"/>
  <c r="C3" i="114"/>
  <c r="I40" i="113"/>
  <c r="J40" i="113"/>
  <c r="H40" i="113"/>
  <c r="F40" i="113"/>
  <c r="G40" i="113"/>
  <c r="E40" i="113"/>
  <c r="C40" i="113"/>
  <c r="D40" i="113"/>
  <c r="B40" i="113"/>
  <c r="C9" i="113"/>
  <c r="A38" i="113" s="1"/>
  <c r="J38" i="113" s="1"/>
  <c r="C4" i="113"/>
  <c r="C3" i="113"/>
  <c r="I40" i="112"/>
  <c r="J40" i="112"/>
  <c r="H40" i="112"/>
  <c r="F40" i="112"/>
  <c r="G40" i="112"/>
  <c r="E40" i="112"/>
  <c r="C40" i="112"/>
  <c r="D40" i="112"/>
  <c r="B40" i="112"/>
  <c r="C9" i="112"/>
  <c r="A38" i="112" s="1"/>
  <c r="G38" i="112" s="1"/>
  <c r="C4" i="112"/>
  <c r="C3" i="112"/>
  <c r="C9" i="111"/>
  <c r="C4" i="111"/>
  <c r="C3" i="111"/>
  <c r="I40" i="110"/>
  <c r="J40" i="110"/>
  <c r="H40" i="110"/>
  <c r="F40" i="110"/>
  <c r="G40" i="110"/>
  <c r="E40" i="110"/>
  <c r="C40" i="110"/>
  <c r="D40" i="110"/>
  <c r="B40" i="110"/>
  <c r="C9" i="110"/>
  <c r="A38" i="110" s="1"/>
  <c r="D38" i="110" s="1"/>
  <c r="C4" i="110"/>
  <c r="C3" i="110"/>
  <c r="I40" i="109"/>
  <c r="J40" i="109"/>
  <c r="H40" i="109"/>
  <c r="F40" i="109"/>
  <c r="G40" i="109"/>
  <c r="E40" i="109"/>
  <c r="C40" i="109"/>
  <c r="D40" i="109"/>
  <c r="B40" i="109"/>
  <c r="C9" i="109"/>
  <c r="A18" i="109" s="1"/>
  <c r="G18" i="109" s="1"/>
  <c r="C4" i="109"/>
  <c r="C3" i="109"/>
  <c r="I40" i="108"/>
  <c r="J40" i="108"/>
  <c r="H40" i="108"/>
  <c r="F40" i="108"/>
  <c r="G40" i="108"/>
  <c r="E40" i="108"/>
  <c r="C40" i="108"/>
  <c r="D40" i="108"/>
  <c r="B40" i="108"/>
  <c r="C9" i="108"/>
  <c r="A16" i="108" s="1"/>
  <c r="C4" i="108"/>
  <c r="C3" i="108"/>
  <c r="I40" i="107"/>
  <c r="H40" i="107"/>
  <c r="F40" i="107"/>
  <c r="E40" i="107"/>
  <c r="C40" i="107"/>
  <c r="B40" i="107"/>
  <c r="C9" i="107"/>
  <c r="A38" i="107" s="1"/>
  <c r="D38" i="107" s="1"/>
  <c r="C4" i="107"/>
  <c r="C3" i="107"/>
  <c r="C9" i="106"/>
  <c r="C4" i="106"/>
  <c r="C3" i="106"/>
  <c r="J40" i="107"/>
  <c r="G40" i="107"/>
  <c r="D40" i="107"/>
  <c r="D3" i="105"/>
  <c r="G6" i="105" s="1"/>
  <c r="AG41" i="102"/>
  <c r="AH41" i="102"/>
  <c r="AF41" i="102"/>
  <c r="AD41" i="102"/>
  <c r="AE41" i="102"/>
  <c r="AC41" i="102"/>
  <c r="AA41" i="102"/>
  <c r="AB41" i="102"/>
  <c r="Z41" i="102"/>
  <c r="U41" i="102"/>
  <c r="V41" i="102"/>
  <c r="T41" i="102"/>
  <c r="R41" i="102"/>
  <c r="S41" i="102"/>
  <c r="Q41" i="102"/>
  <c r="O41" i="102"/>
  <c r="P41" i="102"/>
  <c r="N41" i="102"/>
  <c r="I41" i="102"/>
  <c r="J41" i="102"/>
  <c r="H41" i="102"/>
  <c r="F41" i="102"/>
  <c r="G41" i="102"/>
  <c r="E41" i="102"/>
  <c r="C41" i="102"/>
  <c r="B41" i="102"/>
  <c r="AM10" i="102"/>
  <c r="AA10" i="102"/>
  <c r="O10" i="102"/>
  <c r="C9" i="102"/>
  <c r="A31" i="102" s="1"/>
  <c r="G31" i="102" s="1"/>
  <c r="C4" i="102"/>
  <c r="AM4" i="102" s="1"/>
  <c r="C3" i="102"/>
  <c r="AM3" i="102" s="1"/>
  <c r="AM41" i="101"/>
  <c r="AN41" i="101"/>
  <c r="AL41" i="101"/>
  <c r="AJ41" i="101"/>
  <c r="AK41" i="101"/>
  <c r="AI41" i="101"/>
  <c r="AG41" i="101"/>
  <c r="AH41" i="101"/>
  <c r="AF41" i="101"/>
  <c r="X41" i="101"/>
  <c r="Y41" i="101"/>
  <c r="W41" i="101"/>
  <c r="U41" i="101"/>
  <c r="V41" i="101"/>
  <c r="T41" i="101"/>
  <c r="R41" i="101"/>
  <c r="S41" i="101"/>
  <c r="Q41" i="101"/>
  <c r="I41" i="101"/>
  <c r="J41" i="101"/>
  <c r="H41" i="101"/>
  <c r="F41" i="101"/>
  <c r="G41" i="101"/>
  <c r="E41" i="101"/>
  <c r="C41" i="101"/>
  <c r="D41" i="101"/>
  <c r="B41" i="101"/>
  <c r="AG10" i="101"/>
  <c r="R10" i="101"/>
  <c r="C9" i="101"/>
  <c r="A39" i="101" s="1"/>
  <c r="C4" i="101"/>
  <c r="AG4" i="101" s="1"/>
  <c r="C3" i="101"/>
  <c r="R3" i="101" s="1"/>
  <c r="D41" i="102"/>
  <c r="AM41" i="99"/>
  <c r="AN41" i="99"/>
  <c r="AL41" i="99"/>
  <c r="AJ41" i="99"/>
  <c r="AK41" i="99"/>
  <c r="AI41" i="99"/>
  <c r="AG41" i="99"/>
  <c r="AH41" i="99"/>
  <c r="AF41" i="99"/>
  <c r="X41" i="99"/>
  <c r="Y41" i="99"/>
  <c r="W41" i="99"/>
  <c r="U41" i="99"/>
  <c r="V41" i="99"/>
  <c r="T41" i="99"/>
  <c r="R41" i="99"/>
  <c r="S41" i="99"/>
  <c r="Q41" i="99"/>
  <c r="I41" i="99"/>
  <c r="J41" i="99"/>
  <c r="H41" i="99"/>
  <c r="F41" i="99"/>
  <c r="G41" i="99"/>
  <c r="E41" i="99"/>
  <c r="C41" i="99"/>
  <c r="D41" i="99"/>
  <c r="B41" i="99"/>
  <c r="AG10" i="99"/>
  <c r="R10" i="99"/>
  <c r="C9" i="99"/>
  <c r="A40" i="99" s="1"/>
  <c r="AS40" i="99" s="1"/>
  <c r="C4" i="99"/>
  <c r="R4" i="99" s="1"/>
  <c r="C3" i="99"/>
  <c r="AG3" i="99" s="1"/>
  <c r="C9" i="98"/>
  <c r="C4" i="98"/>
  <c r="C3" i="98"/>
  <c r="C9" i="97"/>
  <c r="C4" i="97"/>
  <c r="C3" i="97"/>
  <c r="T41" i="96"/>
  <c r="V41" i="96"/>
  <c r="S41" i="96"/>
  <c r="R41" i="96"/>
  <c r="Q41" i="96"/>
  <c r="P41" i="96"/>
  <c r="M41" i="96"/>
  <c r="N41" i="96"/>
  <c r="L41" i="96"/>
  <c r="K41" i="96"/>
  <c r="J41" i="96"/>
  <c r="I41" i="96"/>
  <c r="F41" i="96"/>
  <c r="H41" i="96"/>
  <c r="E41" i="96"/>
  <c r="D41" i="96"/>
  <c r="C41" i="96"/>
  <c r="B41" i="96"/>
  <c r="Q10" i="96"/>
  <c r="J10" i="96"/>
  <c r="C9" i="96"/>
  <c r="A40" i="96" s="1"/>
  <c r="C4" i="96"/>
  <c r="J4" i="96" s="1"/>
  <c r="C3" i="96"/>
  <c r="Q3" i="96" s="1"/>
  <c r="Q10" i="94"/>
  <c r="J10" i="94"/>
  <c r="T41" i="94"/>
  <c r="V41" i="94"/>
  <c r="S41" i="94"/>
  <c r="R41" i="94"/>
  <c r="Q41" i="94"/>
  <c r="P41" i="94"/>
  <c r="M41" i="94"/>
  <c r="O41" i="94"/>
  <c r="L41" i="94"/>
  <c r="K41" i="94"/>
  <c r="J41" i="94"/>
  <c r="I41" i="94"/>
  <c r="D41" i="94"/>
  <c r="C41" i="94"/>
  <c r="B41" i="94"/>
  <c r="F41" i="94"/>
  <c r="G41" i="94"/>
  <c r="E41" i="94"/>
  <c r="C9" i="94"/>
  <c r="A40" i="94" s="1"/>
  <c r="C4" i="94"/>
  <c r="Q4" i="94" s="1"/>
  <c r="C3" i="94"/>
  <c r="J3" i="94" s="1"/>
  <c r="F20" i="33"/>
  <c r="E20" i="33"/>
  <c r="D20" i="33"/>
  <c r="C20" i="33"/>
  <c r="B20" i="33"/>
  <c r="F21" i="33"/>
  <c r="E21" i="33"/>
  <c r="D21" i="33"/>
  <c r="C21" i="33"/>
  <c r="B21" i="33"/>
  <c r="H19" i="33"/>
  <c r="G19" i="33"/>
  <c r="U41" i="96"/>
  <c r="N41" i="94"/>
  <c r="U41" i="94"/>
  <c r="G41" i="96"/>
  <c r="O41" i="96"/>
  <c r="H41" i="94"/>
  <c r="E107" i="91"/>
  <c r="F107" i="91"/>
  <c r="G107" i="91"/>
  <c r="H107" i="91"/>
  <c r="I107" i="91"/>
  <c r="J107" i="91"/>
  <c r="D107" i="91"/>
  <c r="B107" i="91"/>
  <c r="N107" i="91"/>
  <c r="M107" i="91"/>
  <c r="L107" i="91"/>
  <c r="T105" i="91"/>
  <c r="R105" i="91"/>
  <c r="Q105" i="91"/>
  <c r="P105" i="91"/>
  <c r="O105" i="91"/>
  <c r="K105" i="91"/>
  <c r="T104" i="91"/>
  <c r="R104" i="91"/>
  <c r="Q104" i="91"/>
  <c r="P104" i="91"/>
  <c r="O104" i="91"/>
  <c r="K104" i="91"/>
  <c r="T103" i="91"/>
  <c r="R103" i="91"/>
  <c r="Q103" i="91"/>
  <c r="P103" i="91"/>
  <c r="O103" i="91"/>
  <c r="K103" i="91"/>
  <c r="T102" i="91"/>
  <c r="R102" i="91"/>
  <c r="Q102" i="91"/>
  <c r="P102" i="91"/>
  <c r="O102" i="91"/>
  <c r="K102" i="91"/>
  <c r="T101" i="91"/>
  <c r="R101" i="91"/>
  <c r="Q101" i="91"/>
  <c r="P101" i="91"/>
  <c r="O101" i="91"/>
  <c r="K101" i="91"/>
  <c r="T100" i="91"/>
  <c r="R100" i="91"/>
  <c r="Q100" i="91"/>
  <c r="P100" i="91"/>
  <c r="O100" i="91"/>
  <c r="K100" i="91"/>
  <c r="T99" i="91"/>
  <c r="R99" i="91"/>
  <c r="S99" i="91"/>
  <c r="Q99" i="91"/>
  <c r="P99" i="91"/>
  <c r="O99" i="91"/>
  <c r="K99" i="91"/>
  <c r="T98" i="91"/>
  <c r="R98" i="91"/>
  <c r="Q98" i="91"/>
  <c r="P98" i="91"/>
  <c r="O98" i="91"/>
  <c r="K98" i="91"/>
  <c r="T97" i="91"/>
  <c r="R97" i="91"/>
  <c r="Q97" i="91"/>
  <c r="P97" i="91"/>
  <c r="O97" i="91"/>
  <c r="K97" i="91"/>
  <c r="T96" i="91"/>
  <c r="R96" i="91"/>
  <c r="Q96" i="91"/>
  <c r="P96" i="91"/>
  <c r="O96" i="91"/>
  <c r="K96" i="91"/>
  <c r="T95" i="91"/>
  <c r="R95" i="91"/>
  <c r="Q95" i="91"/>
  <c r="P95" i="91"/>
  <c r="O95" i="91"/>
  <c r="K95" i="91"/>
  <c r="T94" i="91"/>
  <c r="R94" i="91"/>
  <c r="Q94" i="91"/>
  <c r="P94" i="91"/>
  <c r="O94" i="91"/>
  <c r="K94" i="91"/>
  <c r="T93" i="91"/>
  <c r="R93" i="91"/>
  <c r="Q93" i="91"/>
  <c r="P93" i="91"/>
  <c r="O93" i="91"/>
  <c r="K93" i="91"/>
  <c r="T92" i="91"/>
  <c r="R92" i="91"/>
  <c r="Q92" i="91"/>
  <c r="P92" i="91"/>
  <c r="O92" i="91"/>
  <c r="K92" i="91"/>
  <c r="T91" i="91"/>
  <c r="R91" i="91"/>
  <c r="Q91" i="91"/>
  <c r="P91" i="91"/>
  <c r="O91" i="91"/>
  <c r="K91" i="91"/>
  <c r="T90" i="91"/>
  <c r="R90" i="91"/>
  <c r="Q90" i="91"/>
  <c r="P90" i="91"/>
  <c r="O90" i="91"/>
  <c r="K90" i="91"/>
  <c r="T89" i="91"/>
  <c r="R89" i="91"/>
  <c r="Q89" i="91"/>
  <c r="P89" i="91"/>
  <c r="O89" i="91"/>
  <c r="K89" i="91"/>
  <c r="T88" i="91"/>
  <c r="R88" i="91"/>
  <c r="S88" i="91"/>
  <c r="Q88" i="91"/>
  <c r="P88" i="91"/>
  <c r="O88" i="91"/>
  <c r="K88" i="91"/>
  <c r="T87" i="91"/>
  <c r="R87" i="91"/>
  <c r="Q87" i="91"/>
  <c r="P87" i="91"/>
  <c r="O87" i="91"/>
  <c r="K87" i="91"/>
  <c r="T86" i="91"/>
  <c r="R86" i="91"/>
  <c r="Q86" i="91"/>
  <c r="P86" i="91"/>
  <c r="O86" i="91"/>
  <c r="K86" i="91"/>
  <c r="T85" i="91"/>
  <c r="R85" i="91"/>
  <c r="Q85" i="91"/>
  <c r="P85" i="91"/>
  <c r="O85" i="91"/>
  <c r="K85" i="91"/>
  <c r="T84" i="91"/>
  <c r="R84" i="91"/>
  <c r="S84" i="91"/>
  <c r="U84" i="91"/>
  <c r="Q84" i="91"/>
  <c r="P84" i="91"/>
  <c r="O84" i="91"/>
  <c r="K84" i="91"/>
  <c r="T83" i="91"/>
  <c r="R83" i="91"/>
  <c r="Q83" i="91"/>
  <c r="P83" i="91"/>
  <c r="O83" i="91"/>
  <c r="K83" i="91"/>
  <c r="T82" i="91"/>
  <c r="R82" i="91"/>
  <c r="Q82" i="91"/>
  <c r="P82" i="91"/>
  <c r="O82" i="91"/>
  <c r="K82" i="91"/>
  <c r="T81" i="91"/>
  <c r="R81" i="91"/>
  <c r="Q81" i="91"/>
  <c r="P81" i="91"/>
  <c r="O81" i="91"/>
  <c r="K81" i="91"/>
  <c r="T80" i="91"/>
  <c r="R80" i="91"/>
  <c r="Q80" i="91"/>
  <c r="P80" i="91"/>
  <c r="O80" i="91"/>
  <c r="K80" i="91"/>
  <c r="T79" i="91"/>
  <c r="R79" i="91"/>
  <c r="Q79" i="91"/>
  <c r="P79" i="91"/>
  <c r="O79" i="91"/>
  <c r="K79" i="91"/>
  <c r="T78" i="91"/>
  <c r="R78" i="91"/>
  <c r="Q78" i="91"/>
  <c r="P78" i="91"/>
  <c r="O78" i="91"/>
  <c r="K78" i="91"/>
  <c r="T77" i="91"/>
  <c r="R77" i="91"/>
  <c r="Q77" i="91"/>
  <c r="P77" i="91"/>
  <c r="O77" i="91"/>
  <c r="K77" i="91"/>
  <c r="T76" i="91"/>
  <c r="R76" i="91"/>
  <c r="Q76" i="91"/>
  <c r="P76" i="91"/>
  <c r="O76" i="91"/>
  <c r="K76" i="91"/>
  <c r="T75" i="91"/>
  <c r="R75" i="91"/>
  <c r="Q75" i="91"/>
  <c r="P75" i="91"/>
  <c r="O75" i="91"/>
  <c r="K75" i="91"/>
  <c r="T74" i="91"/>
  <c r="R74" i="91"/>
  <c r="Q74" i="91"/>
  <c r="P74" i="91"/>
  <c r="O74" i="91"/>
  <c r="K74" i="91"/>
  <c r="T73" i="91"/>
  <c r="R73" i="91"/>
  <c r="Q73" i="91"/>
  <c r="P73" i="91"/>
  <c r="O73" i="91"/>
  <c r="K73" i="91"/>
  <c r="T72" i="91"/>
  <c r="R72" i="91"/>
  <c r="Q72" i="91"/>
  <c r="P72" i="91"/>
  <c r="O72" i="91"/>
  <c r="K72" i="91"/>
  <c r="T71" i="91"/>
  <c r="R71" i="91"/>
  <c r="Q71" i="91"/>
  <c r="S71" i="91"/>
  <c r="P71" i="91"/>
  <c r="O71" i="91"/>
  <c r="K71" i="91"/>
  <c r="T70" i="91"/>
  <c r="R70" i="91"/>
  <c r="Q70" i="91"/>
  <c r="P70" i="91"/>
  <c r="O70" i="91"/>
  <c r="K70" i="91"/>
  <c r="T69" i="91"/>
  <c r="R69" i="91"/>
  <c r="Q69" i="91"/>
  <c r="P69" i="91"/>
  <c r="O69" i="91"/>
  <c r="K69" i="91"/>
  <c r="T68" i="91"/>
  <c r="R68" i="91"/>
  <c r="Q68" i="91"/>
  <c r="P68" i="91"/>
  <c r="O68" i="91"/>
  <c r="K68" i="91"/>
  <c r="T67" i="91"/>
  <c r="R67" i="91"/>
  <c r="Q67" i="91"/>
  <c r="P67" i="91"/>
  <c r="O67" i="91"/>
  <c r="K67" i="91"/>
  <c r="T66" i="91"/>
  <c r="R66" i="91"/>
  <c r="Q66" i="91"/>
  <c r="P66" i="91"/>
  <c r="O66" i="91"/>
  <c r="K66" i="91"/>
  <c r="T65" i="91"/>
  <c r="R65" i="91"/>
  <c r="Q65" i="91"/>
  <c r="P65" i="91"/>
  <c r="O65" i="91"/>
  <c r="K65" i="91"/>
  <c r="T64" i="91"/>
  <c r="R64" i="91"/>
  <c r="Q64" i="91"/>
  <c r="P64" i="91"/>
  <c r="O64" i="91"/>
  <c r="K64" i="91"/>
  <c r="T63" i="91"/>
  <c r="R63" i="91"/>
  <c r="Q63" i="91"/>
  <c r="P63" i="91"/>
  <c r="O63" i="91"/>
  <c r="K63" i="91"/>
  <c r="T62" i="91"/>
  <c r="R62" i="91"/>
  <c r="Q62" i="91"/>
  <c r="P62" i="91"/>
  <c r="O62" i="91"/>
  <c r="K62" i="91"/>
  <c r="T61" i="91"/>
  <c r="R61" i="91"/>
  <c r="Q61" i="91"/>
  <c r="P61" i="91"/>
  <c r="O61" i="91"/>
  <c r="K61" i="91"/>
  <c r="T60" i="91"/>
  <c r="R60" i="91"/>
  <c r="Q60" i="91"/>
  <c r="P60" i="91"/>
  <c r="O60" i="91"/>
  <c r="K60" i="91"/>
  <c r="T59" i="91"/>
  <c r="R59" i="91"/>
  <c r="Q59" i="91"/>
  <c r="P59" i="91"/>
  <c r="O59" i="91"/>
  <c r="K59" i="91"/>
  <c r="T58" i="91"/>
  <c r="R58" i="91"/>
  <c r="Q58" i="91"/>
  <c r="P58" i="91"/>
  <c r="O58" i="91"/>
  <c r="K58" i="91"/>
  <c r="T57" i="91"/>
  <c r="R57" i="91"/>
  <c r="Q57" i="91"/>
  <c r="P57" i="91"/>
  <c r="O57" i="91"/>
  <c r="K57" i="91"/>
  <c r="T56" i="91"/>
  <c r="R56" i="91"/>
  <c r="Q56" i="91"/>
  <c r="P56" i="91"/>
  <c r="O56" i="91"/>
  <c r="K56" i="91"/>
  <c r="T55" i="91"/>
  <c r="R55" i="91"/>
  <c r="Q55" i="91"/>
  <c r="P55" i="91"/>
  <c r="O55" i="91"/>
  <c r="K55" i="91"/>
  <c r="T54" i="91"/>
  <c r="R54" i="91"/>
  <c r="Q54" i="91"/>
  <c r="P54" i="91"/>
  <c r="O54" i="91"/>
  <c r="K54" i="91"/>
  <c r="T53" i="91"/>
  <c r="R53" i="91"/>
  <c r="Q53" i="91"/>
  <c r="P53" i="91"/>
  <c r="O53" i="91"/>
  <c r="K53" i="91"/>
  <c r="T52" i="91"/>
  <c r="R52" i="91"/>
  <c r="Q52" i="91"/>
  <c r="P52" i="91"/>
  <c r="O52" i="91"/>
  <c r="K52" i="91"/>
  <c r="T51" i="91"/>
  <c r="R51" i="91"/>
  <c r="Q51" i="91"/>
  <c r="P51" i="91"/>
  <c r="O51" i="91"/>
  <c r="K51" i="91"/>
  <c r="T50" i="91"/>
  <c r="R50" i="91"/>
  <c r="Q50" i="91"/>
  <c r="P50" i="91"/>
  <c r="O50" i="91"/>
  <c r="K50" i="91"/>
  <c r="T49" i="91"/>
  <c r="R49" i="91"/>
  <c r="Q49" i="91"/>
  <c r="P49" i="91"/>
  <c r="O49" i="91"/>
  <c r="K49" i="91"/>
  <c r="T48" i="91"/>
  <c r="R48" i="91"/>
  <c r="Q48" i="91"/>
  <c r="P48" i="91"/>
  <c r="O48" i="91"/>
  <c r="K48" i="91"/>
  <c r="T47" i="91"/>
  <c r="R47" i="91"/>
  <c r="Q47" i="91"/>
  <c r="P47" i="91"/>
  <c r="O47" i="91"/>
  <c r="K47" i="91"/>
  <c r="T46" i="91"/>
  <c r="R46" i="91"/>
  <c r="Q46" i="91"/>
  <c r="P46" i="91"/>
  <c r="O46" i="91"/>
  <c r="K46" i="91"/>
  <c r="T45" i="91"/>
  <c r="R45" i="91"/>
  <c r="Q45" i="91"/>
  <c r="P45" i="91"/>
  <c r="O45" i="91"/>
  <c r="K45" i="91"/>
  <c r="T44" i="91"/>
  <c r="R44" i="91"/>
  <c r="Q44" i="91"/>
  <c r="P44" i="91"/>
  <c r="O44" i="91"/>
  <c r="K44" i="91"/>
  <c r="T43" i="91"/>
  <c r="R43" i="91"/>
  <c r="Q43" i="91"/>
  <c r="P43" i="91"/>
  <c r="O43" i="91"/>
  <c r="K43" i="91"/>
  <c r="T42" i="91"/>
  <c r="R42" i="91"/>
  <c r="Q42" i="91"/>
  <c r="P42" i="91"/>
  <c r="O42" i="91"/>
  <c r="K42" i="91"/>
  <c r="T41" i="91"/>
  <c r="R41" i="91"/>
  <c r="Q41" i="91"/>
  <c r="P41" i="91"/>
  <c r="O41" i="91"/>
  <c r="K41" i="91"/>
  <c r="T40" i="91"/>
  <c r="R40" i="91"/>
  <c r="Q40" i="91"/>
  <c r="P40" i="91"/>
  <c r="O40" i="91"/>
  <c r="K40" i="91"/>
  <c r="T39" i="91"/>
  <c r="R39" i="91"/>
  <c r="Q39" i="91"/>
  <c r="P39" i="91"/>
  <c r="O39" i="91"/>
  <c r="K39" i="91"/>
  <c r="T38" i="91"/>
  <c r="R38" i="91"/>
  <c r="Q38" i="91"/>
  <c r="P38" i="91"/>
  <c r="O38" i="91"/>
  <c r="K38" i="91"/>
  <c r="T37" i="91"/>
  <c r="R37" i="91"/>
  <c r="Q37" i="91"/>
  <c r="P37" i="91"/>
  <c r="O37" i="91"/>
  <c r="K37" i="91"/>
  <c r="T36" i="91"/>
  <c r="R36" i="91"/>
  <c r="Q36" i="91"/>
  <c r="P36" i="91"/>
  <c r="O36" i="91"/>
  <c r="K36" i="91"/>
  <c r="T35" i="91"/>
  <c r="R35" i="91"/>
  <c r="Q35" i="91"/>
  <c r="P35" i="91"/>
  <c r="O35" i="91"/>
  <c r="K35" i="91"/>
  <c r="T34" i="91"/>
  <c r="R34" i="91"/>
  <c r="Q34" i="91"/>
  <c r="P34" i="91"/>
  <c r="O34" i="91"/>
  <c r="K34" i="91"/>
  <c r="T33" i="91"/>
  <c r="R33" i="91"/>
  <c r="Q33" i="91"/>
  <c r="P33" i="91"/>
  <c r="O33" i="91"/>
  <c r="K33" i="91"/>
  <c r="T32" i="91"/>
  <c r="R32" i="91"/>
  <c r="Q32" i="91"/>
  <c r="P32" i="91"/>
  <c r="O32" i="91"/>
  <c r="K32" i="91"/>
  <c r="T31" i="91"/>
  <c r="R31" i="91"/>
  <c r="Q31" i="91"/>
  <c r="P31" i="91"/>
  <c r="O31" i="91"/>
  <c r="K31" i="91"/>
  <c r="T30" i="91"/>
  <c r="R30" i="91"/>
  <c r="Q30" i="91"/>
  <c r="P30" i="91"/>
  <c r="O30" i="91"/>
  <c r="K30" i="91"/>
  <c r="T29" i="91"/>
  <c r="R29" i="91"/>
  <c r="Q29" i="91"/>
  <c r="P29" i="91"/>
  <c r="O29" i="91"/>
  <c r="K29" i="91"/>
  <c r="T28" i="91"/>
  <c r="R28" i="91"/>
  <c r="Q28" i="91"/>
  <c r="P28" i="91"/>
  <c r="O28" i="91"/>
  <c r="K28" i="91"/>
  <c r="T27" i="91"/>
  <c r="R27" i="91"/>
  <c r="Q27" i="91"/>
  <c r="P27" i="91"/>
  <c r="O27" i="91"/>
  <c r="K27" i="91"/>
  <c r="T26" i="91"/>
  <c r="R26" i="91"/>
  <c r="Q26" i="91"/>
  <c r="P26" i="91"/>
  <c r="O26" i="91"/>
  <c r="K26" i="91"/>
  <c r="T25" i="91"/>
  <c r="R25" i="91"/>
  <c r="Q25" i="91"/>
  <c r="P25" i="91"/>
  <c r="O25" i="91"/>
  <c r="K25" i="91"/>
  <c r="T24" i="91"/>
  <c r="R24" i="91"/>
  <c r="Q24" i="91"/>
  <c r="P24" i="91"/>
  <c r="O24" i="91"/>
  <c r="K24" i="91"/>
  <c r="T23" i="91"/>
  <c r="R23" i="91"/>
  <c r="Q23" i="91"/>
  <c r="P23" i="91"/>
  <c r="O23" i="91"/>
  <c r="K23" i="91"/>
  <c r="T22" i="91"/>
  <c r="R22" i="91"/>
  <c r="Q22" i="91"/>
  <c r="P22" i="91"/>
  <c r="O22" i="91"/>
  <c r="K22" i="91"/>
  <c r="T21" i="91"/>
  <c r="R21" i="91"/>
  <c r="Q21" i="91"/>
  <c r="P21" i="91"/>
  <c r="O21" i="91"/>
  <c r="K21" i="91"/>
  <c r="T20" i="91"/>
  <c r="R20" i="91"/>
  <c r="Q20" i="91"/>
  <c r="P20" i="91"/>
  <c r="O20" i="91"/>
  <c r="K20" i="91"/>
  <c r="T19" i="91"/>
  <c r="R19" i="91"/>
  <c r="Q19" i="91"/>
  <c r="P19" i="91"/>
  <c r="O19" i="91"/>
  <c r="K19" i="91"/>
  <c r="T18" i="91"/>
  <c r="R18" i="91"/>
  <c r="Q18" i="91"/>
  <c r="P18" i="91"/>
  <c r="O18" i="91"/>
  <c r="K18" i="91"/>
  <c r="T17" i="91"/>
  <c r="R17" i="91"/>
  <c r="Q17" i="91"/>
  <c r="P17" i="91"/>
  <c r="O17" i="91"/>
  <c r="K17" i="91"/>
  <c r="T16" i="91"/>
  <c r="R16" i="91"/>
  <c r="Q16" i="91"/>
  <c r="P16" i="91"/>
  <c r="O16" i="91"/>
  <c r="K16" i="91"/>
  <c r="T15" i="91"/>
  <c r="R15" i="91"/>
  <c r="Q15" i="91"/>
  <c r="P15" i="91"/>
  <c r="O15" i="91"/>
  <c r="K15" i="91"/>
  <c r="T14" i="91"/>
  <c r="R14" i="91"/>
  <c r="Q14" i="91"/>
  <c r="P14" i="91"/>
  <c r="O14" i="91"/>
  <c r="K14" i="91"/>
  <c r="T13" i="91"/>
  <c r="R13" i="91"/>
  <c r="Q13" i="91"/>
  <c r="P13" i="91"/>
  <c r="O13" i="91"/>
  <c r="K13" i="91"/>
  <c r="T12" i="91"/>
  <c r="R12" i="91"/>
  <c r="Q12" i="91"/>
  <c r="P12" i="91"/>
  <c r="O12" i="91"/>
  <c r="K12" i="91"/>
  <c r="T11" i="91"/>
  <c r="R11" i="91"/>
  <c r="Q11" i="91"/>
  <c r="P11" i="91"/>
  <c r="O11" i="91"/>
  <c r="K11" i="91"/>
  <c r="T10" i="91"/>
  <c r="R10" i="91"/>
  <c r="Q10" i="91"/>
  <c r="P10" i="91"/>
  <c r="O10" i="91"/>
  <c r="K10" i="91"/>
  <c r="T9" i="91"/>
  <c r="R9" i="91"/>
  <c r="Q9" i="91"/>
  <c r="P9" i="91"/>
  <c r="O9" i="91"/>
  <c r="K9" i="91"/>
  <c r="T8" i="91"/>
  <c r="R8" i="91"/>
  <c r="Q8" i="91"/>
  <c r="P8" i="91"/>
  <c r="O8" i="91"/>
  <c r="K8" i="91"/>
  <c r="T7" i="91"/>
  <c r="R7" i="91"/>
  <c r="Q7" i="91"/>
  <c r="P7" i="91"/>
  <c r="O7" i="91"/>
  <c r="K7" i="91"/>
  <c r="T6" i="91"/>
  <c r="R6" i="91"/>
  <c r="Q6" i="91"/>
  <c r="P6" i="91"/>
  <c r="O6" i="91"/>
  <c r="K6" i="91"/>
  <c r="S73" i="91"/>
  <c r="S75" i="91"/>
  <c r="S77" i="91"/>
  <c r="S79" i="91"/>
  <c r="U79" i="91"/>
  <c r="V79" i="91"/>
  <c r="S91" i="91"/>
  <c r="U91" i="91"/>
  <c r="V91" i="91"/>
  <c r="S101" i="91"/>
  <c r="S103" i="91"/>
  <c r="U103" i="91"/>
  <c r="V103" i="91"/>
  <c r="S105" i="91"/>
  <c r="P107" i="91"/>
  <c r="S17" i="91"/>
  <c r="U17" i="91"/>
  <c r="S21" i="91"/>
  <c r="U21" i="91"/>
  <c r="S33" i="91"/>
  <c r="U33" i="91"/>
  <c r="S53" i="91"/>
  <c r="U53" i="91"/>
  <c r="Q107" i="91"/>
  <c r="S14" i="91"/>
  <c r="U14" i="91"/>
  <c r="S18" i="91"/>
  <c r="S22" i="91"/>
  <c r="S34" i="91"/>
  <c r="S38" i="91"/>
  <c r="S46" i="91"/>
  <c r="S66" i="91"/>
  <c r="S70" i="91"/>
  <c r="S78" i="91"/>
  <c r="S39" i="91"/>
  <c r="U39" i="91"/>
  <c r="V39" i="91"/>
  <c r="S41" i="91"/>
  <c r="U41" i="91"/>
  <c r="S43" i="91"/>
  <c r="U43" i="91"/>
  <c r="S45" i="91"/>
  <c r="U45" i="91"/>
  <c r="S47" i="91"/>
  <c r="S49" i="91"/>
  <c r="U49" i="91"/>
  <c r="U88" i="91"/>
  <c r="S65" i="91"/>
  <c r="U65" i="91"/>
  <c r="S93" i="91"/>
  <c r="U93" i="91"/>
  <c r="S95" i="91"/>
  <c r="U95" i="91"/>
  <c r="V95" i="91"/>
  <c r="S97" i="91"/>
  <c r="U97" i="91"/>
  <c r="S104" i="91"/>
  <c r="U104" i="91"/>
  <c r="K107" i="91"/>
  <c r="U66" i="91"/>
  <c r="U78" i="91"/>
  <c r="S81" i="91"/>
  <c r="U81" i="91"/>
  <c r="S89" i="91"/>
  <c r="U89" i="91"/>
  <c r="U105" i="91"/>
  <c r="R107" i="91"/>
  <c r="U18" i="91"/>
  <c r="V18" i="91"/>
  <c r="O107" i="91"/>
  <c r="O108" i="91"/>
  <c r="T107" i="91"/>
  <c r="T108" i="91"/>
  <c r="S7" i="91"/>
  <c r="S9" i="91"/>
  <c r="S11" i="91"/>
  <c r="S13" i="91"/>
  <c r="U13" i="91"/>
  <c r="V13" i="91"/>
  <c r="S15" i="91"/>
  <c r="S28" i="91"/>
  <c r="U28" i="91"/>
  <c r="S60" i="91"/>
  <c r="U60" i="91"/>
  <c r="V60" i="91"/>
  <c r="S96" i="91"/>
  <c r="U96" i="91"/>
  <c r="V96" i="91"/>
  <c r="S100" i="91"/>
  <c r="U100" i="91"/>
  <c r="S12" i="91"/>
  <c r="U12" i="91"/>
  <c r="V12" i="91"/>
  <c r="S30" i="91"/>
  <c r="U30" i="91"/>
  <c r="V30" i="91"/>
  <c r="S37" i="91"/>
  <c r="U37" i="91"/>
  <c r="V37" i="91"/>
  <c r="S55" i="91"/>
  <c r="U55" i="91"/>
  <c r="V55" i="91"/>
  <c r="S57" i="91"/>
  <c r="U57" i="91"/>
  <c r="S59" i="91"/>
  <c r="U59" i="91"/>
  <c r="V59" i="91"/>
  <c r="S61" i="91"/>
  <c r="U61" i="91"/>
  <c r="V61" i="91"/>
  <c r="S63" i="91"/>
  <c r="S76" i="91"/>
  <c r="U76" i="91"/>
  <c r="V76" i="91"/>
  <c r="S82" i="91"/>
  <c r="U82" i="91"/>
  <c r="V82" i="91"/>
  <c r="U7" i="91"/>
  <c r="V7" i="91"/>
  <c r="V28" i="91"/>
  <c r="U34" i="91"/>
  <c r="V34" i="91"/>
  <c r="U46" i="91"/>
  <c r="V46" i="91"/>
  <c r="U71" i="91"/>
  <c r="V71" i="91"/>
  <c r="U73" i="91"/>
  <c r="V73" i="91"/>
  <c r="U75" i="91"/>
  <c r="V75" i="91"/>
  <c r="U77" i="91"/>
  <c r="U99" i="91"/>
  <c r="V99" i="91"/>
  <c r="U9" i="91"/>
  <c r="U11" i="91"/>
  <c r="V11" i="91"/>
  <c r="S23" i="91"/>
  <c r="U23" i="91"/>
  <c r="V23" i="91"/>
  <c r="S25" i="91"/>
  <c r="U25" i="91"/>
  <c r="S27" i="91"/>
  <c r="U27" i="91"/>
  <c r="V27" i="91"/>
  <c r="S29" i="91"/>
  <c r="U29" i="91"/>
  <c r="V29" i="91"/>
  <c r="S31" i="91"/>
  <c r="U31" i="91"/>
  <c r="V31" i="91"/>
  <c r="S44" i="91"/>
  <c r="U44" i="91"/>
  <c r="V44" i="91"/>
  <c r="S50" i="91"/>
  <c r="U50" i="91"/>
  <c r="V50" i="91"/>
  <c r="S54" i="91"/>
  <c r="U54" i="91"/>
  <c r="V54" i="91"/>
  <c r="S62" i="91"/>
  <c r="U62" i="91"/>
  <c r="V66" i="91"/>
  <c r="S69" i="91"/>
  <c r="U69" i="91"/>
  <c r="S83" i="91"/>
  <c r="U83" i="91"/>
  <c r="V83" i="91"/>
  <c r="S85" i="91"/>
  <c r="U85" i="91"/>
  <c r="S87" i="91"/>
  <c r="U87" i="91"/>
  <c r="V87" i="91"/>
  <c r="S92" i="91"/>
  <c r="U92" i="91"/>
  <c r="V92" i="91"/>
  <c r="S94" i="91"/>
  <c r="U94" i="91"/>
  <c r="V94" i="91"/>
  <c r="V105" i="91"/>
  <c r="V45" i="91"/>
  <c r="V77" i="91"/>
  <c r="V85" i="91"/>
  <c r="V88" i="91"/>
  <c r="V93" i="91"/>
  <c r="S98" i="91"/>
  <c r="U98" i="91"/>
  <c r="V98" i="91"/>
  <c r="V17" i="91"/>
  <c r="S32" i="91"/>
  <c r="U32" i="91"/>
  <c r="V32" i="91"/>
  <c r="V43" i="91"/>
  <c r="S48" i="91"/>
  <c r="U48" i="91"/>
  <c r="V48" i="91"/>
  <c r="V49" i="91"/>
  <c r="S64" i="91"/>
  <c r="U64" i="91"/>
  <c r="V64" i="91"/>
  <c r="V65" i="91"/>
  <c r="S86" i="91"/>
  <c r="U86" i="91"/>
  <c r="U101" i="91"/>
  <c r="S16" i="91"/>
  <c r="U16" i="91"/>
  <c r="V16" i="91"/>
  <c r="V33" i="91"/>
  <c r="S36" i="91"/>
  <c r="U36" i="91"/>
  <c r="V36" i="91"/>
  <c r="U38" i="91"/>
  <c r="V38" i="91"/>
  <c r="U47" i="91"/>
  <c r="V47" i="91"/>
  <c r="S52" i="91"/>
  <c r="U52" i="91"/>
  <c r="V52" i="91"/>
  <c r="U63" i="91"/>
  <c r="V63" i="91"/>
  <c r="S68" i="91"/>
  <c r="U68" i="91"/>
  <c r="V68" i="91"/>
  <c r="U70" i="91"/>
  <c r="S80" i="91"/>
  <c r="U80" i="91"/>
  <c r="V80" i="91"/>
  <c r="V104" i="91"/>
  <c r="Q108" i="91"/>
  <c r="U15" i="91"/>
  <c r="V15" i="91"/>
  <c r="S20" i="91"/>
  <c r="U20" i="91"/>
  <c r="V20" i="91"/>
  <c r="U22" i="91"/>
  <c r="V22" i="91"/>
  <c r="R108" i="91"/>
  <c r="S8" i="91"/>
  <c r="U8" i="91"/>
  <c r="V8" i="91"/>
  <c r="S10" i="91"/>
  <c r="U10" i="91"/>
  <c r="V14" i="91"/>
  <c r="S19" i="91"/>
  <c r="U19" i="91"/>
  <c r="V19" i="91"/>
  <c r="S24" i="91"/>
  <c r="U24" i="91"/>
  <c r="V24" i="91"/>
  <c r="S26" i="91"/>
  <c r="U26" i="91"/>
  <c r="S35" i="91"/>
  <c r="U35" i="91"/>
  <c r="V35" i="91"/>
  <c r="S40" i="91"/>
  <c r="U40" i="91"/>
  <c r="V40" i="91"/>
  <c r="S42" i="91"/>
  <c r="U42" i="91"/>
  <c r="S51" i="91"/>
  <c r="U51" i="91"/>
  <c r="V51" i="91"/>
  <c r="S56" i="91"/>
  <c r="U56" i="91"/>
  <c r="V56" i="91"/>
  <c r="S58" i="91"/>
  <c r="U58" i="91"/>
  <c r="V62" i="91"/>
  <c r="S67" i="91"/>
  <c r="U67" i="91"/>
  <c r="V67" i="91"/>
  <c r="S72" i="91"/>
  <c r="U72" i="91"/>
  <c r="V72" i="91"/>
  <c r="S74" i="91"/>
  <c r="U74" i="91"/>
  <c r="V78" i="91"/>
  <c r="V86" i="91"/>
  <c r="S90" i="91"/>
  <c r="U90" i="91"/>
  <c r="V90" i="91"/>
  <c r="V100" i="91"/>
  <c r="S102" i="91"/>
  <c r="U102" i="91"/>
  <c r="V102" i="91"/>
  <c r="V10" i="91"/>
  <c r="V26" i="91"/>
  <c r="V42" i="91"/>
  <c r="V58" i="91"/>
  <c r="V74" i="91"/>
  <c r="V84" i="91"/>
  <c r="V21" i="91"/>
  <c r="V53" i="91"/>
  <c r="V69" i="91"/>
  <c r="V81" i="91"/>
  <c r="V89" i="91"/>
  <c r="V101" i="91"/>
  <c r="V9" i="91"/>
  <c r="V25" i="91"/>
  <c r="V41" i="91"/>
  <c r="V57" i="91"/>
  <c r="V70" i="91"/>
  <c r="V97" i="91"/>
  <c r="S6" i="91"/>
  <c r="P108" i="91"/>
  <c r="S107" i="91"/>
  <c r="S108" i="91"/>
  <c r="U6" i="91"/>
  <c r="U107" i="91"/>
  <c r="U108" i="91"/>
  <c r="V6" i="91"/>
  <c r="V107" i="91"/>
  <c r="V108" i="91"/>
  <c r="AF75" i="90"/>
  <c r="AC75" i="90"/>
  <c r="Z75" i="90"/>
  <c r="T75" i="90"/>
  <c r="Q75" i="90"/>
  <c r="N75" i="90"/>
  <c r="H75" i="90"/>
  <c r="E75" i="90"/>
  <c r="B75" i="90"/>
  <c r="AF43" i="90"/>
  <c r="AC43" i="90"/>
  <c r="Z43" i="90"/>
  <c r="T43" i="90"/>
  <c r="Q43" i="90"/>
  <c r="N43" i="90"/>
  <c r="H43" i="90"/>
  <c r="E43" i="90"/>
  <c r="B43" i="90"/>
  <c r="AM10" i="90"/>
  <c r="AA10" i="90"/>
  <c r="O10" i="90"/>
  <c r="C9" i="90"/>
  <c r="A42" i="90" s="1"/>
  <c r="C4" i="90"/>
  <c r="C3" i="90"/>
  <c r="O3" i="90" s="1"/>
  <c r="AM10" i="78"/>
  <c r="AA10" i="78"/>
  <c r="O10" i="78"/>
  <c r="AG75" i="78"/>
  <c r="AH75" i="78"/>
  <c r="AF75" i="78"/>
  <c r="AD75" i="78"/>
  <c r="AE75" i="78"/>
  <c r="AC75" i="78"/>
  <c r="AA75" i="78"/>
  <c r="AB75" i="78"/>
  <c r="Z75" i="78"/>
  <c r="U75" i="78"/>
  <c r="V75" i="78"/>
  <c r="T75" i="78"/>
  <c r="R75" i="78"/>
  <c r="S75" i="78"/>
  <c r="Q75" i="78"/>
  <c r="O75" i="78"/>
  <c r="P75" i="78"/>
  <c r="N75" i="78"/>
  <c r="I75" i="78"/>
  <c r="J75" i="78"/>
  <c r="H75" i="78"/>
  <c r="F75" i="78"/>
  <c r="G75" i="78"/>
  <c r="E75" i="78"/>
  <c r="C75" i="78"/>
  <c r="D75" i="78"/>
  <c r="B75" i="78"/>
  <c r="AG43" i="78"/>
  <c r="AH43" i="78"/>
  <c r="AF43" i="78"/>
  <c r="AD43" i="78"/>
  <c r="AE43" i="78"/>
  <c r="AC43" i="78"/>
  <c r="AA43" i="78"/>
  <c r="AB43" i="78"/>
  <c r="Z43" i="78"/>
  <c r="J41" i="89"/>
  <c r="I41" i="89"/>
  <c r="F41" i="89"/>
  <c r="G41" i="89"/>
  <c r="C41" i="89"/>
  <c r="D41" i="89"/>
  <c r="D79" i="71"/>
  <c r="H41" i="89"/>
  <c r="E41" i="89"/>
  <c r="B41" i="89"/>
  <c r="C9" i="89"/>
  <c r="A36" i="89" s="1"/>
  <c r="C4" i="89"/>
  <c r="C3" i="89"/>
  <c r="AL75" i="90"/>
  <c r="AL43" i="90"/>
  <c r="F87" i="71"/>
  <c r="E87" i="71"/>
  <c r="F86" i="71"/>
  <c r="E86" i="71"/>
  <c r="F85" i="71"/>
  <c r="E85" i="71"/>
  <c r="F84" i="71"/>
  <c r="E84" i="71"/>
  <c r="F83" i="71"/>
  <c r="E83" i="71"/>
  <c r="F82" i="71"/>
  <c r="E82" i="71"/>
  <c r="F81" i="71"/>
  <c r="E81" i="71"/>
  <c r="F80" i="71"/>
  <c r="E80" i="71"/>
  <c r="F79" i="71"/>
  <c r="E79" i="71"/>
  <c r="F78" i="71"/>
  <c r="E78" i="71"/>
  <c r="D87" i="71"/>
  <c r="D86" i="71"/>
  <c r="D85" i="71"/>
  <c r="D84" i="71"/>
  <c r="D83" i="71"/>
  <c r="D82" i="71"/>
  <c r="D81" i="71"/>
  <c r="D80" i="71"/>
  <c r="D78" i="71"/>
  <c r="B31" i="85"/>
  <c r="B30" i="85"/>
  <c r="B29" i="85"/>
  <c r="B28" i="85"/>
  <c r="B27" i="85"/>
  <c r="B26" i="85"/>
  <c r="B25" i="85"/>
  <c r="B24" i="85"/>
  <c r="B23" i="85"/>
  <c r="B22" i="85"/>
  <c r="B21" i="85"/>
  <c r="B20" i="85"/>
  <c r="B19" i="85"/>
  <c r="B18" i="85"/>
  <c r="B17" i="85"/>
  <c r="C32" i="85"/>
  <c r="C4" i="72"/>
  <c r="Q4" i="72" s="1"/>
  <c r="C4" i="33"/>
  <c r="J4" i="33" s="1"/>
  <c r="C4" i="78"/>
  <c r="AM4" i="78" s="1"/>
  <c r="C4" i="88"/>
  <c r="C4" i="87"/>
  <c r="C4" i="85"/>
  <c r="I3" i="29"/>
  <c r="I4" i="29"/>
  <c r="C9" i="88"/>
  <c r="C3" i="88"/>
  <c r="C9" i="87"/>
  <c r="C3" i="87"/>
  <c r="C9" i="85"/>
  <c r="C3" i="85"/>
  <c r="I41" i="79"/>
  <c r="J41" i="79"/>
  <c r="H41" i="79"/>
  <c r="F41" i="79"/>
  <c r="G41" i="79"/>
  <c r="E41" i="79"/>
  <c r="C41" i="79"/>
  <c r="D41" i="79"/>
  <c r="B41" i="79"/>
  <c r="A40" i="79"/>
  <c r="Y40" i="79" s="1"/>
  <c r="A36" i="79"/>
  <c r="AO36" i="79" s="1"/>
  <c r="A32" i="79"/>
  <c r="Z32" i="79" s="1"/>
  <c r="A28" i="79"/>
  <c r="AH28" i="79" s="1"/>
  <c r="A24" i="79"/>
  <c r="Z24" i="79" s="1"/>
  <c r="A39" i="79"/>
  <c r="A35" i="79"/>
  <c r="AP35" i="79" s="1"/>
  <c r="A31" i="79"/>
  <c r="A27" i="79"/>
  <c r="A23" i="79"/>
  <c r="AN23" i="79" s="1"/>
  <c r="A19" i="79"/>
  <c r="Y19" i="79" s="1"/>
  <c r="A38" i="79"/>
  <c r="A34" i="79"/>
  <c r="D34" i="79" s="1"/>
  <c r="A30" i="79"/>
  <c r="AR30" i="79" s="1"/>
  <c r="A26" i="79"/>
  <c r="A22" i="79"/>
  <c r="AO22" i="79" s="1"/>
  <c r="A18" i="79"/>
  <c r="K18" i="79" s="1"/>
  <c r="A37" i="79"/>
  <c r="AC37" i="79" s="1"/>
  <c r="A33" i="79"/>
  <c r="N33" i="79" s="1"/>
  <c r="A29" i="79"/>
  <c r="AP29" i="79" s="1"/>
  <c r="A25" i="79"/>
  <c r="O25" i="79" s="1"/>
  <c r="A21" i="79"/>
  <c r="AK21" i="79" s="1"/>
  <c r="A17" i="79"/>
  <c r="AS17" i="79" s="1"/>
  <c r="A20" i="79"/>
  <c r="V20" i="79" s="1"/>
  <c r="U43" i="78"/>
  <c r="V43" i="78"/>
  <c r="T43" i="78"/>
  <c r="R43" i="78"/>
  <c r="S43" i="78"/>
  <c r="Q43" i="78"/>
  <c r="O43" i="78"/>
  <c r="P43" i="78"/>
  <c r="N43" i="78"/>
  <c r="I43" i="78"/>
  <c r="J43" i="78"/>
  <c r="H43" i="78"/>
  <c r="F43" i="78"/>
  <c r="G43" i="78"/>
  <c r="E43" i="78"/>
  <c r="C43" i="78"/>
  <c r="D43" i="78"/>
  <c r="B43" i="78"/>
  <c r="C9" i="78"/>
  <c r="A21" i="78" s="1"/>
  <c r="X21" i="78" s="1"/>
  <c r="C3" i="78"/>
  <c r="AM3" i="78" s="1"/>
  <c r="H20" i="33"/>
  <c r="G20" i="33"/>
  <c r="H18" i="33"/>
  <c r="G18" i="33"/>
  <c r="H17" i="33"/>
  <c r="G17" i="33"/>
  <c r="AM75" i="78"/>
  <c r="AN75" i="78"/>
  <c r="AL75" i="78"/>
  <c r="AM43" i="78"/>
  <c r="AN43" i="78"/>
  <c r="AL43" i="78"/>
  <c r="H21" i="33"/>
  <c r="C9" i="72"/>
  <c r="J9" i="72" s="1"/>
  <c r="C3" i="72"/>
  <c r="Q3" i="72" s="1"/>
  <c r="C9" i="33"/>
  <c r="Q9" i="33" s="1"/>
  <c r="C3" i="33"/>
  <c r="J3" i="33" s="1"/>
  <c r="J12" i="29"/>
  <c r="J11" i="29"/>
  <c r="J10" i="29"/>
  <c r="J9" i="29"/>
  <c r="G21" i="33"/>
  <c r="A24" i="109" l="1"/>
  <c r="G102" i="71"/>
  <c r="G110" i="71"/>
  <c r="G116" i="71"/>
  <c r="E103" i="71"/>
  <c r="G78" i="71"/>
  <c r="G80" i="71"/>
  <c r="G82" i="71"/>
  <c r="G84" i="71"/>
  <c r="G86" i="71"/>
  <c r="A17" i="107"/>
  <c r="G17" i="107" s="1"/>
  <c r="A37" i="108"/>
  <c r="A32" i="114"/>
  <c r="J32" i="114" s="1"/>
  <c r="A36" i="107"/>
  <c r="J36" i="107" s="1"/>
  <c r="A20" i="112"/>
  <c r="D20" i="112" s="1"/>
  <c r="A19" i="107"/>
  <c r="D19" i="107" s="1"/>
  <c r="A33" i="107"/>
  <c r="G33" i="107" s="1"/>
  <c r="A17" i="110"/>
  <c r="D17" i="110" s="1"/>
  <c r="A28" i="112"/>
  <c r="G28" i="112" s="1"/>
  <c r="A20" i="107"/>
  <c r="A25" i="114"/>
  <c r="D25" i="114" s="1"/>
  <c r="A26" i="113"/>
  <c r="J26" i="113" s="1"/>
  <c r="A31" i="107"/>
  <c r="G31" i="107" s="1"/>
  <c r="A37" i="107"/>
  <c r="D37" i="107" s="1"/>
  <c r="A26" i="107"/>
  <c r="J26" i="107" s="1"/>
  <c r="A17" i="114"/>
  <c r="G17" i="114" s="1"/>
  <c r="A37" i="113"/>
  <c r="G37" i="113" s="1"/>
  <c r="A35" i="107"/>
  <c r="D35" i="107" s="1"/>
  <c r="A21" i="72"/>
  <c r="V21" i="72" s="1"/>
  <c r="D23" i="79"/>
  <c r="A37" i="109"/>
  <c r="J37" i="109" s="1"/>
  <c r="A31" i="110"/>
  <c r="J31" i="110" s="1"/>
  <c r="A31" i="109"/>
  <c r="D31" i="109" s="1"/>
  <c r="A25" i="110"/>
  <c r="G25" i="110" s="1"/>
  <c r="A23" i="108"/>
  <c r="D23" i="108" s="1"/>
  <c r="A16" i="109"/>
  <c r="A39" i="109"/>
  <c r="G39" i="109" s="1"/>
  <c r="A17" i="94"/>
  <c r="H17" i="94" s="1"/>
  <c r="A28" i="107"/>
  <c r="G28" i="107" s="1"/>
  <c r="A21" i="107"/>
  <c r="D21" i="107" s="1"/>
  <c r="A22" i="107"/>
  <c r="G22" i="107" s="1"/>
  <c r="A30" i="108"/>
  <c r="J30" i="108" s="1"/>
  <c r="A35" i="112"/>
  <c r="A20" i="113"/>
  <c r="A26" i="89"/>
  <c r="J26" i="89" s="1"/>
  <c r="A37" i="89"/>
  <c r="D37" i="89" s="1"/>
  <c r="A40" i="78"/>
  <c r="AE40" i="78" s="1"/>
  <c r="A32" i="89"/>
  <c r="D32" i="89" s="1"/>
  <c r="A21" i="89"/>
  <c r="D21" i="89" s="1"/>
  <c r="A28" i="72"/>
  <c r="G28" i="72" s="1"/>
  <c r="A30" i="89"/>
  <c r="G30" i="89" s="1"/>
  <c r="A20" i="89"/>
  <c r="D20" i="89" s="1"/>
  <c r="A31" i="108"/>
  <c r="J31" i="108" s="1"/>
  <c r="A25" i="108"/>
  <c r="D25" i="108" s="1"/>
  <c r="A18" i="108"/>
  <c r="J18" i="108" s="1"/>
  <c r="A32" i="109"/>
  <c r="G32" i="109" s="1"/>
  <c r="A25" i="109"/>
  <c r="D25" i="109" s="1"/>
  <c r="A19" i="109"/>
  <c r="A33" i="110"/>
  <c r="A26" i="110"/>
  <c r="G26" i="110" s="1"/>
  <c r="A19" i="110"/>
  <c r="G19" i="110" s="1"/>
  <c r="A33" i="114"/>
  <c r="J33" i="114" s="1"/>
  <c r="A27" i="114"/>
  <c r="D27" i="114" s="1"/>
  <c r="A20" i="114"/>
  <c r="G20" i="114" s="1"/>
  <c r="A36" i="112"/>
  <c r="G36" i="112" s="1"/>
  <c r="A29" i="112"/>
  <c r="G29" i="112" s="1"/>
  <c r="A23" i="112"/>
  <c r="D23" i="112" s="1"/>
  <c r="A31" i="113"/>
  <c r="A21" i="113"/>
  <c r="J21" i="113" s="1"/>
  <c r="A32" i="113"/>
  <c r="G32" i="113" s="1"/>
  <c r="A35" i="113"/>
  <c r="A39" i="112"/>
  <c r="G39" i="112" s="1"/>
  <c r="A39" i="78"/>
  <c r="G39" i="78" s="1"/>
  <c r="A35" i="89"/>
  <c r="G35" i="89" s="1"/>
  <c r="A25" i="89"/>
  <c r="J25" i="89" s="1"/>
  <c r="A40" i="89"/>
  <c r="J40" i="89" s="1"/>
  <c r="A25" i="96"/>
  <c r="G25" i="96" s="1"/>
  <c r="A35" i="108"/>
  <c r="J35" i="108" s="1"/>
  <c r="A29" i="108"/>
  <c r="D29" i="108" s="1"/>
  <c r="A21" i="108"/>
  <c r="A36" i="109"/>
  <c r="G36" i="109" s="1"/>
  <c r="A29" i="109"/>
  <c r="D29" i="109" s="1"/>
  <c r="A21" i="109"/>
  <c r="D21" i="109" s="1"/>
  <c r="A37" i="110"/>
  <c r="A30" i="110"/>
  <c r="D30" i="110" s="1"/>
  <c r="A22" i="110"/>
  <c r="D22" i="110" s="1"/>
  <c r="A37" i="114"/>
  <c r="J37" i="114" s="1"/>
  <c r="A31" i="114"/>
  <c r="G31" i="114" s="1"/>
  <c r="A23" i="114"/>
  <c r="G23" i="114" s="1"/>
  <c r="A16" i="114"/>
  <c r="G16" i="114" s="1"/>
  <c r="A33" i="112"/>
  <c r="J33" i="112" s="1"/>
  <c r="A25" i="112"/>
  <c r="G25" i="112" s="1"/>
  <c r="A19" i="112"/>
  <c r="J19" i="112" s="1"/>
  <c r="A25" i="113"/>
  <c r="D25" i="113" s="1"/>
  <c r="A17" i="113"/>
  <c r="G17" i="113" s="1"/>
  <c r="A29" i="113"/>
  <c r="A39" i="114"/>
  <c r="J39" i="114" s="1"/>
  <c r="J9" i="96"/>
  <c r="A34" i="108"/>
  <c r="G34" i="108" s="1"/>
  <c r="A26" i="108"/>
  <c r="D26" i="108" s="1"/>
  <c r="A19" i="108"/>
  <c r="D19" i="108" s="1"/>
  <c r="A35" i="109"/>
  <c r="J35" i="109" s="1"/>
  <c r="A27" i="109"/>
  <c r="J27" i="109" s="1"/>
  <c r="A20" i="109"/>
  <c r="D20" i="109" s="1"/>
  <c r="A35" i="110"/>
  <c r="G35" i="110" s="1"/>
  <c r="A27" i="110"/>
  <c r="J27" i="110" s="1"/>
  <c r="A21" i="110"/>
  <c r="J21" i="110" s="1"/>
  <c r="A36" i="114"/>
  <c r="J36" i="114" s="1"/>
  <c r="A28" i="114"/>
  <c r="D28" i="114" s="1"/>
  <c r="A21" i="114"/>
  <c r="D21" i="114" s="1"/>
  <c r="A34" i="113"/>
  <c r="D34" i="113" s="1"/>
  <c r="A31" i="112"/>
  <c r="A24" i="112"/>
  <c r="D24" i="112" s="1"/>
  <c r="A17" i="112"/>
  <c r="J17" i="112" s="1"/>
  <c r="A22" i="113"/>
  <c r="J22" i="113" s="1"/>
  <c r="A16" i="113"/>
  <c r="J16" i="113" s="1"/>
  <c r="I26" i="104"/>
  <c r="K29" i="104"/>
  <c r="J4" i="72"/>
  <c r="Q4" i="118"/>
  <c r="K45" i="104"/>
  <c r="I57" i="104"/>
  <c r="J57" i="104"/>
  <c r="H44" i="104"/>
  <c r="J39" i="104"/>
  <c r="H8" i="104"/>
  <c r="J26" i="104"/>
  <c r="I39" i="104"/>
  <c r="I6" i="104"/>
  <c r="H27" i="104"/>
  <c r="E29" i="105"/>
  <c r="K30" i="104"/>
  <c r="J42" i="104"/>
  <c r="J14" i="104"/>
  <c r="I27" i="104"/>
  <c r="H47" i="104"/>
  <c r="H15" i="104"/>
  <c r="K48" i="104"/>
  <c r="K17" i="104"/>
  <c r="J27" i="104"/>
  <c r="I42" i="104"/>
  <c r="I14" i="104"/>
  <c r="H29" i="104"/>
  <c r="F29" i="105"/>
  <c r="K54" i="104"/>
  <c r="K44" i="104"/>
  <c r="K24" i="104"/>
  <c r="J51" i="104"/>
  <c r="J38" i="104"/>
  <c r="J21" i="104"/>
  <c r="I51" i="104"/>
  <c r="I38" i="104"/>
  <c r="I21" i="104"/>
  <c r="H53" i="104"/>
  <c r="H39" i="104"/>
  <c r="H23" i="104"/>
  <c r="K6" i="104"/>
  <c r="J7" i="104"/>
  <c r="K53" i="104"/>
  <c r="K36" i="104"/>
  <c r="K18" i="104"/>
  <c r="J50" i="104"/>
  <c r="J33" i="104"/>
  <c r="J15" i="104"/>
  <c r="I50" i="104"/>
  <c r="I33" i="104"/>
  <c r="I15" i="104"/>
  <c r="H51" i="104"/>
  <c r="H35" i="104"/>
  <c r="H17" i="104"/>
  <c r="J8" i="104"/>
  <c r="J3" i="119"/>
  <c r="D26" i="105"/>
  <c r="G28" i="105"/>
  <c r="J4" i="94"/>
  <c r="G34" i="105"/>
  <c r="F35" i="105"/>
  <c r="E35" i="105"/>
  <c r="D32" i="105"/>
  <c r="G4" i="104"/>
  <c r="E12" i="104" s="1"/>
  <c r="D32" i="85"/>
  <c r="AA3" i="90"/>
  <c r="K47" i="104"/>
  <c r="K35" i="104"/>
  <c r="K23" i="104"/>
  <c r="J56" i="104"/>
  <c r="J41" i="104"/>
  <c r="J32" i="104"/>
  <c r="J20" i="104"/>
  <c r="I56" i="104"/>
  <c r="I41" i="104"/>
  <c r="I32" i="104"/>
  <c r="I20" i="104"/>
  <c r="H57" i="104"/>
  <c r="H42" i="104"/>
  <c r="H33" i="104"/>
  <c r="H21" i="104"/>
  <c r="H6" i="104"/>
  <c r="G10" i="105"/>
  <c r="F11" i="105"/>
  <c r="D56" i="105"/>
  <c r="D7" i="105"/>
  <c r="K7" i="104"/>
  <c r="G52" i="105"/>
  <c r="F53" i="105"/>
  <c r="E53" i="105"/>
  <c r="D50" i="105"/>
  <c r="F5" i="105"/>
  <c r="K56" i="104"/>
  <c r="K50" i="104"/>
  <c r="K41" i="104"/>
  <c r="K38" i="104"/>
  <c r="K32" i="104"/>
  <c r="K26" i="104"/>
  <c r="K20" i="104"/>
  <c r="K8" i="104"/>
  <c r="J53" i="104"/>
  <c r="J47" i="104"/>
  <c r="J44" i="104"/>
  <c r="J35" i="104"/>
  <c r="J29" i="104"/>
  <c r="J23" i="104"/>
  <c r="J17" i="104"/>
  <c r="J6" i="104"/>
  <c r="I53" i="104"/>
  <c r="I47" i="104"/>
  <c r="I44" i="104"/>
  <c r="I35" i="104"/>
  <c r="I29" i="104"/>
  <c r="I23" i="104"/>
  <c r="I17" i="104"/>
  <c r="I8" i="104"/>
  <c r="H54" i="104"/>
  <c r="H48" i="104"/>
  <c r="H45" i="104"/>
  <c r="H36" i="104"/>
  <c r="H30" i="104"/>
  <c r="H24" i="104"/>
  <c r="H18" i="104"/>
  <c r="H11" i="104"/>
  <c r="K11" i="104"/>
  <c r="G40" i="105"/>
  <c r="G16" i="105"/>
  <c r="F41" i="105"/>
  <c r="F17" i="105"/>
  <c r="E41" i="105"/>
  <c r="E17" i="105"/>
  <c r="D38" i="105"/>
  <c r="D14" i="105"/>
  <c r="E6" i="105"/>
  <c r="G11" i="105"/>
  <c r="E11" i="105"/>
  <c r="D11" i="105"/>
  <c r="K12" i="104"/>
  <c r="J12" i="104"/>
  <c r="H12" i="104"/>
  <c r="I12" i="104"/>
  <c r="J3" i="72"/>
  <c r="AG3" i="101"/>
  <c r="K51" i="104"/>
  <c r="K42" i="104"/>
  <c r="K39" i="104"/>
  <c r="K33" i="104"/>
  <c r="K27" i="104"/>
  <c r="K21" i="104"/>
  <c r="K15" i="104"/>
  <c r="J54" i="104"/>
  <c r="J48" i="104"/>
  <c r="J45" i="104"/>
  <c r="J36" i="104"/>
  <c r="J30" i="104"/>
  <c r="J24" i="104"/>
  <c r="J18" i="104"/>
  <c r="J11" i="104"/>
  <c r="I54" i="104"/>
  <c r="I48" i="104"/>
  <c r="I45" i="104"/>
  <c r="I36" i="104"/>
  <c r="I30" i="104"/>
  <c r="I24" i="104"/>
  <c r="I18" i="104"/>
  <c r="I11" i="104"/>
  <c r="H56" i="104"/>
  <c r="H50" i="104"/>
  <c r="H41" i="104"/>
  <c r="H38" i="104"/>
  <c r="H32" i="104"/>
  <c r="H26" i="104"/>
  <c r="H20" i="104"/>
  <c r="H14" i="104"/>
  <c r="K14" i="104"/>
  <c r="K57" i="104"/>
  <c r="G46" i="105"/>
  <c r="G22" i="105"/>
  <c r="F47" i="105"/>
  <c r="F23" i="105"/>
  <c r="E47" i="105"/>
  <c r="E23" i="105"/>
  <c r="D44" i="105"/>
  <c r="D20" i="105"/>
  <c r="J3" i="117"/>
  <c r="H7" i="104"/>
  <c r="Q4" i="96"/>
  <c r="B45" i="78"/>
  <c r="N45" i="78" s="1"/>
  <c r="O4" i="78"/>
  <c r="A38" i="78"/>
  <c r="W38" i="78" s="1"/>
  <c r="A64" i="78"/>
  <c r="AB64" i="78" s="1"/>
  <c r="Q9" i="72"/>
  <c r="A23" i="78"/>
  <c r="G23" i="78" s="1"/>
  <c r="A41" i="78"/>
  <c r="X41" i="78" s="1"/>
  <c r="A62" i="90"/>
  <c r="AG62" i="90" s="1"/>
  <c r="AH62" i="90" s="1"/>
  <c r="A21" i="96"/>
  <c r="V21" i="96" s="1"/>
  <c r="A19" i="96"/>
  <c r="V19" i="96" s="1"/>
  <c r="A23" i="107"/>
  <c r="D23" i="107" s="1"/>
  <c r="A24" i="107"/>
  <c r="J24" i="107" s="1"/>
  <c r="A29" i="107"/>
  <c r="J29" i="107" s="1"/>
  <c r="A30" i="107"/>
  <c r="D30" i="107" s="1"/>
  <c r="A33" i="108"/>
  <c r="D33" i="108" s="1"/>
  <c r="A27" i="108"/>
  <c r="J27" i="108" s="1"/>
  <c r="A22" i="108"/>
  <c r="J22" i="108" s="1"/>
  <c r="A17" i="108"/>
  <c r="G17" i="108" s="1"/>
  <c r="A33" i="109"/>
  <c r="J33" i="109" s="1"/>
  <c r="A28" i="109"/>
  <c r="A23" i="109"/>
  <c r="J23" i="109" s="1"/>
  <c r="A17" i="109"/>
  <c r="G17" i="109" s="1"/>
  <c r="A34" i="110"/>
  <c r="J34" i="110" s="1"/>
  <c r="A29" i="110"/>
  <c r="G29" i="110" s="1"/>
  <c r="A23" i="110"/>
  <c r="J23" i="110" s="1"/>
  <c r="A18" i="110"/>
  <c r="J18" i="110" s="1"/>
  <c r="A35" i="114"/>
  <c r="G35" i="114" s="1"/>
  <c r="A29" i="114"/>
  <c r="J29" i="114" s="1"/>
  <c r="A24" i="114"/>
  <c r="G24" i="114" s="1"/>
  <c r="A37" i="112"/>
  <c r="J37" i="112" s="1"/>
  <c r="A32" i="112"/>
  <c r="J32" i="112" s="1"/>
  <c r="A27" i="112"/>
  <c r="A21" i="112"/>
  <c r="D21" i="112" s="1"/>
  <c r="A16" i="112"/>
  <c r="J16" i="112" s="1"/>
  <c r="A24" i="113"/>
  <c r="A18" i="113"/>
  <c r="J18" i="113" s="1"/>
  <c r="A28" i="113"/>
  <c r="J28" i="113" s="1"/>
  <c r="A53" i="78"/>
  <c r="AN53" i="78" s="1"/>
  <c r="A63" i="78"/>
  <c r="P63" i="78" s="1"/>
  <c r="A30" i="78"/>
  <c r="A30" i="90"/>
  <c r="A35" i="102"/>
  <c r="AJ35" i="102" s="1"/>
  <c r="AK35" i="102" s="1"/>
  <c r="A39" i="108"/>
  <c r="G39" i="108" s="1"/>
  <c r="A34" i="101"/>
  <c r="A18" i="72"/>
  <c r="U18" i="72" s="1"/>
  <c r="A37" i="72"/>
  <c r="U37" i="72" s="1"/>
  <c r="A19" i="72"/>
  <c r="G19" i="72" s="1"/>
  <c r="A39" i="72"/>
  <c r="G39" i="72" s="1"/>
  <c r="A34" i="89"/>
  <c r="J34" i="89" s="1"/>
  <c r="A29" i="89"/>
  <c r="J29" i="89" s="1"/>
  <c r="A24" i="89"/>
  <c r="D24" i="89" s="1"/>
  <c r="A18" i="89"/>
  <c r="A39" i="89"/>
  <c r="A33" i="90"/>
  <c r="AI33" i="90" s="1"/>
  <c r="A57" i="90"/>
  <c r="AM57" i="90" s="1"/>
  <c r="A24" i="72"/>
  <c r="G24" i="72" s="1"/>
  <c r="A20" i="72"/>
  <c r="A23" i="72"/>
  <c r="O23" i="72" s="1"/>
  <c r="AM9" i="78"/>
  <c r="A66" i="78"/>
  <c r="AI66" i="78" s="1"/>
  <c r="A24" i="78"/>
  <c r="AH24" i="78" s="1"/>
  <c r="A69" i="78"/>
  <c r="S69" i="78" s="1"/>
  <c r="A33" i="89"/>
  <c r="J33" i="89" s="1"/>
  <c r="A28" i="89"/>
  <c r="D28" i="89" s="1"/>
  <c r="A22" i="89"/>
  <c r="J22" i="89" s="1"/>
  <c r="A17" i="89"/>
  <c r="D17" i="89" s="1"/>
  <c r="A36" i="90"/>
  <c r="U36" i="90" s="1"/>
  <c r="A54" i="90"/>
  <c r="W54" i="90" s="1"/>
  <c r="A25" i="102"/>
  <c r="A39" i="110"/>
  <c r="J39" i="110" s="1"/>
  <c r="A38" i="108"/>
  <c r="J38" i="108" s="1"/>
  <c r="A36" i="72"/>
  <c r="O36" i="72" s="1"/>
  <c r="A21" i="90"/>
  <c r="O21" i="90" s="1"/>
  <c r="P21" i="90" s="1"/>
  <c r="A39" i="90"/>
  <c r="AM42" i="90"/>
  <c r="AG42" i="90"/>
  <c r="U42" i="90"/>
  <c r="I42" i="90"/>
  <c r="AD42" i="90"/>
  <c r="R42" i="90"/>
  <c r="F42" i="90"/>
  <c r="AA42" i="90"/>
  <c r="O42" i="90"/>
  <c r="C42" i="90"/>
  <c r="O4" i="102"/>
  <c r="R4" i="101"/>
  <c r="AA4" i="102"/>
  <c r="Q4" i="117"/>
  <c r="AG4" i="99"/>
  <c r="AA4" i="78"/>
  <c r="AA4" i="90"/>
  <c r="Q4" i="33"/>
  <c r="O4" i="90"/>
  <c r="Q4" i="119"/>
  <c r="AM4" i="90"/>
  <c r="A32" i="99"/>
  <c r="AC32" i="99" s="1"/>
  <c r="R9" i="99"/>
  <c r="A29" i="72"/>
  <c r="A25" i="72"/>
  <c r="O25" i="72" s="1"/>
  <c r="A31" i="72"/>
  <c r="G31" i="72" s="1"/>
  <c r="J9" i="94"/>
  <c r="A22" i="96"/>
  <c r="N22" i="96" s="1"/>
  <c r="A23" i="96"/>
  <c r="A37" i="99"/>
  <c r="AK37" i="99" s="1"/>
  <c r="A34" i="99"/>
  <c r="AA34" i="99" s="1"/>
  <c r="AB34" i="99" s="1"/>
  <c r="A20" i="99"/>
  <c r="A24" i="101"/>
  <c r="A38" i="117"/>
  <c r="A70" i="117"/>
  <c r="G70" i="117" s="1"/>
  <c r="A96" i="117"/>
  <c r="V96" i="117" s="1"/>
  <c r="A31" i="99"/>
  <c r="A28" i="99"/>
  <c r="N28" i="99" s="1"/>
  <c r="A17" i="99"/>
  <c r="N17" i="99" s="1"/>
  <c r="A35" i="99"/>
  <c r="A29" i="99"/>
  <c r="A24" i="99"/>
  <c r="AS24" i="99" s="1"/>
  <c r="AT24" i="99" s="1"/>
  <c r="A19" i="99"/>
  <c r="A18" i="99"/>
  <c r="D18" i="99" s="1"/>
  <c r="A80" i="117"/>
  <c r="J9" i="33"/>
  <c r="S39" i="79"/>
  <c r="A18" i="94"/>
  <c r="N18" i="94" s="1"/>
  <c r="AG9" i="101"/>
  <c r="A26" i="102"/>
  <c r="S26" i="102" s="1"/>
  <c r="A31" i="117"/>
  <c r="A61" i="117"/>
  <c r="N61" i="117" s="1"/>
  <c r="A55" i="117"/>
  <c r="V55" i="117" s="1"/>
  <c r="A82" i="117"/>
  <c r="A72" i="117"/>
  <c r="G72" i="117" s="1"/>
  <c r="A16" i="72"/>
  <c r="H16" i="72" s="1"/>
  <c r="A17" i="72"/>
  <c r="O17" i="72" s="1"/>
  <c r="A26" i="72"/>
  <c r="G26" i="72" s="1"/>
  <c r="A30" i="72"/>
  <c r="N30" i="72" s="1"/>
  <c r="A35" i="72"/>
  <c r="O35" i="72" s="1"/>
  <c r="A38" i="72"/>
  <c r="V38" i="72" s="1"/>
  <c r="A20" i="94"/>
  <c r="O20" i="94" s="1"/>
  <c r="A20" i="96"/>
  <c r="A30" i="96"/>
  <c r="G30" i="96" s="1"/>
  <c r="A33" i="99"/>
  <c r="A26" i="99"/>
  <c r="Z26" i="99" s="1"/>
  <c r="A36" i="99"/>
  <c r="A25" i="99"/>
  <c r="K25" i="99" s="1"/>
  <c r="AG9" i="99"/>
  <c r="A21" i="99"/>
  <c r="AR21" i="99" s="1"/>
  <c r="A19" i="101"/>
  <c r="AH19" i="101" s="1"/>
  <c r="A18" i="101"/>
  <c r="AP18" i="101" s="1"/>
  <c r="AQ18" i="101" s="1"/>
  <c r="A38" i="109"/>
  <c r="Q9" i="119"/>
  <c r="A32" i="94"/>
  <c r="H32" i="94" s="1"/>
  <c r="A36" i="118"/>
  <c r="A67" i="90"/>
  <c r="AA9" i="78"/>
  <c r="A37" i="78"/>
  <c r="AE37" i="78" s="1"/>
  <c r="A34" i="78"/>
  <c r="X34" i="78" s="1"/>
  <c r="Y34" i="78" s="1"/>
  <c r="A58" i="78"/>
  <c r="AI58" i="78" s="1"/>
  <c r="A19" i="78"/>
  <c r="AH19" i="78" s="1"/>
  <c r="A35" i="78"/>
  <c r="D35" i="78" s="1"/>
  <c r="A59" i="78"/>
  <c r="AJ59" i="78" s="1"/>
  <c r="AK59" i="78" s="1"/>
  <c r="A20" i="78"/>
  <c r="L20" i="78" s="1"/>
  <c r="A36" i="78"/>
  <c r="AJ36" i="78" s="1"/>
  <c r="AK36" i="78" s="1"/>
  <c r="A60" i="78"/>
  <c r="X60" i="78" s="1"/>
  <c r="Y60" i="78" s="1"/>
  <c r="A29" i="78"/>
  <c r="AB29" i="78" s="1"/>
  <c r="A65" i="78"/>
  <c r="J65" i="78" s="1"/>
  <c r="A33" i="78"/>
  <c r="AJ33" i="78" s="1"/>
  <c r="AK33" i="78" s="1"/>
  <c r="A19" i="90"/>
  <c r="W19" i="90" s="1"/>
  <c r="A27" i="90"/>
  <c r="AI27" i="90" s="1"/>
  <c r="A32" i="90"/>
  <c r="C32" i="90" s="1"/>
  <c r="A29" i="90"/>
  <c r="A40" i="90"/>
  <c r="K40" i="90" s="1"/>
  <c r="A55" i="90"/>
  <c r="AI55" i="90" s="1"/>
  <c r="A52" i="90"/>
  <c r="O52" i="90" s="1"/>
  <c r="A61" i="90"/>
  <c r="U61" i="90" s="1"/>
  <c r="A66" i="90"/>
  <c r="W66" i="90" s="1"/>
  <c r="A65" i="90"/>
  <c r="AI65" i="90" s="1"/>
  <c r="A20" i="90"/>
  <c r="A41" i="90"/>
  <c r="A74" i="90"/>
  <c r="AE74" i="90" s="1"/>
  <c r="A27" i="94"/>
  <c r="N27" i="94" s="1"/>
  <c r="A25" i="94"/>
  <c r="A38" i="94"/>
  <c r="H38" i="94" s="1"/>
  <c r="A28" i="94"/>
  <c r="O28" i="94" s="1"/>
  <c r="A27" i="101"/>
  <c r="AK27" i="101" s="1"/>
  <c r="A25" i="101"/>
  <c r="AH25" i="101" s="1"/>
  <c r="A32" i="101"/>
  <c r="G32" i="101" s="1"/>
  <c r="AA9" i="102"/>
  <c r="A17" i="102"/>
  <c r="J17" i="102" s="1"/>
  <c r="A22" i="102"/>
  <c r="A27" i="102"/>
  <c r="AJ27" i="102" s="1"/>
  <c r="AK27" i="102" s="1"/>
  <c r="A19" i="118"/>
  <c r="O19" i="118" s="1"/>
  <c r="A21" i="118"/>
  <c r="A30" i="118"/>
  <c r="H30" i="118" s="1"/>
  <c r="A68" i="90"/>
  <c r="W68" i="90" s="1"/>
  <c r="O9" i="90"/>
  <c r="A38" i="90"/>
  <c r="A32" i="72"/>
  <c r="A33" i="72"/>
  <c r="U33" i="72" s="1"/>
  <c r="A34" i="72"/>
  <c r="H34" i="72" s="1"/>
  <c r="A22" i="72"/>
  <c r="G22" i="72" s="1"/>
  <c r="A27" i="72"/>
  <c r="A22" i="78"/>
  <c r="A42" i="78"/>
  <c r="AJ42" i="78" s="1"/>
  <c r="A70" i="78"/>
  <c r="A27" i="78"/>
  <c r="AB27" i="78" s="1"/>
  <c r="A51" i="78"/>
  <c r="K51" i="78" s="1"/>
  <c r="A67" i="78"/>
  <c r="S67" i="78" s="1"/>
  <c r="A28" i="78"/>
  <c r="A52" i="78"/>
  <c r="AI52" i="78" s="1"/>
  <c r="A68" i="78"/>
  <c r="S68" i="78" s="1"/>
  <c r="A57" i="78"/>
  <c r="AB57" i="78" s="1"/>
  <c r="A73" i="78"/>
  <c r="K73" i="78" s="1"/>
  <c r="A62" i="78"/>
  <c r="A34" i="90"/>
  <c r="I34" i="90" s="1"/>
  <c r="A23" i="90"/>
  <c r="K23" i="90" s="1"/>
  <c r="A37" i="90"/>
  <c r="W37" i="90" s="1"/>
  <c r="A24" i="90"/>
  <c r="A31" i="90"/>
  <c r="AI31" i="90" s="1"/>
  <c r="A51" i="90"/>
  <c r="C51" i="90" s="1"/>
  <c r="D51" i="90" s="1"/>
  <c r="A59" i="90"/>
  <c r="K59" i="90" s="1"/>
  <c r="A56" i="90"/>
  <c r="W56" i="90" s="1"/>
  <c r="A63" i="90"/>
  <c r="U63" i="90" s="1"/>
  <c r="A70" i="90"/>
  <c r="K70" i="90" s="1"/>
  <c r="A69" i="90"/>
  <c r="AM9" i="90"/>
  <c r="A73" i="90"/>
  <c r="A29" i="94"/>
  <c r="V29" i="94" s="1"/>
  <c r="A33" i="94"/>
  <c r="G33" i="94" s="1"/>
  <c r="A24" i="94"/>
  <c r="G24" i="94" s="1"/>
  <c r="A34" i="94"/>
  <c r="O34" i="94" s="1"/>
  <c r="A32" i="96"/>
  <c r="V32" i="96" s="1"/>
  <c r="A37" i="96"/>
  <c r="U37" i="96" s="1"/>
  <c r="A38" i="96"/>
  <c r="O38" i="96" s="1"/>
  <c r="A18" i="96"/>
  <c r="N18" i="96" s="1"/>
  <c r="A35" i="96"/>
  <c r="U35" i="96" s="1"/>
  <c r="Q9" i="96"/>
  <c r="A36" i="96"/>
  <c r="G36" i="96" s="1"/>
  <c r="A23" i="99"/>
  <c r="AR23" i="99" s="1"/>
  <c r="A22" i="99"/>
  <c r="G22" i="99" s="1"/>
  <c r="A30" i="99"/>
  <c r="AO30" i="99" s="1"/>
  <c r="A38" i="99"/>
  <c r="G38" i="99" s="1"/>
  <c r="A27" i="99"/>
  <c r="S27" i="99" s="1"/>
  <c r="A39" i="99"/>
  <c r="A17" i="101"/>
  <c r="J17" i="101" s="1"/>
  <c r="R9" i="101"/>
  <c r="A22" i="101"/>
  <c r="A35" i="101"/>
  <c r="A20" i="102"/>
  <c r="A29" i="102"/>
  <c r="AM29" i="102" s="1"/>
  <c r="AN29" i="102" s="1"/>
  <c r="A38" i="102"/>
  <c r="A24" i="102"/>
  <c r="AI24" i="102" s="1"/>
  <c r="A28" i="118"/>
  <c r="O28" i="118" s="1"/>
  <c r="A18" i="118"/>
  <c r="H18" i="118" s="1"/>
  <c r="A35" i="118"/>
  <c r="H35" i="118" s="1"/>
  <c r="O9" i="78"/>
  <c r="A25" i="78"/>
  <c r="S25" i="78" s="1"/>
  <c r="A26" i="78"/>
  <c r="J26" i="78" s="1"/>
  <c r="A54" i="78"/>
  <c r="A74" i="78"/>
  <c r="P74" i="78" s="1"/>
  <c r="A31" i="78"/>
  <c r="A55" i="78"/>
  <c r="AN55" i="78" s="1"/>
  <c r="A71" i="78"/>
  <c r="X71" i="78" s="1"/>
  <c r="A32" i="78"/>
  <c r="AI32" i="78" s="1"/>
  <c r="A56" i="78"/>
  <c r="A72" i="78"/>
  <c r="AH72" i="78" s="1"/>
  <c r="A61" i="78"/>
  <c r="A22" i="90"/>
  <c r="AG22" i="90" s="1"/>
  <c r="A25" i="90"/>
  <c r="W25" i="90" s="1"/>
  <c r="A28" i="90"/>
  <c r="AG28" i="90" s="1"/>
  <c r="AH28" i="90" s="1"/>
  <c r="A26" i="90"/>
  <c r="A35" i="90"/>
  <c r="AM35" i="90" s="1"/>
  <c r="A53" i="90"/>
  <c r="A60" i="90"/>
  <c r="AI60" i="90" s="1"/>
  <c r="A58" i="90"/>
  <c r="W58" i="90" s="1"/>
  <c r="A64" i="90"/>
  <c r="AM64" i="90" s="1"/>
  <c r="A72" i="90"/>
  <c r="AI72" i="90" s="1"/>
  <c r="A71" i="90"/>
  <c r="AA9" i="90"/>
  <c r="A23" i="94"/>
  <c r="U23" i="94" s="1"/>
  <c r="A19" i="94"/>
  <c r="O19" i="94" s="1"/>
  <c r="A37" i="94"/>
  <c r="G37" i="94" s="1"/>
  <c r="A26" i="94"/>
  <c r="A36" i="94"/>
  <c r="H36" i="94" s="1"/>
  <c r="A28" i="96"/>
  <c r="O28" i="96" s="1"/>
  <c r="A29" i="96"/>
  <c r="G29" i="96" s="1"/>
  <c r="A34" i="96"/>
  <c r="A31" i="96"/>
  <c r="O31" i="96" s="1"/>
  <c r="Q9" i="94"/>
  <c r="A23" i="101"/>
  <c r="G23" i="101" s="1"/>
  <c r="A21" i="101"/>
  <c r="A30" i="101"/>
  <c r="A38" i="101"/>
  <c r="AP38" i="101" s="1"/>
  <c r="A32" i="102"/>
  <c r="K32" i="102" s="1"/>
  <c r="A18" i="102"/>
  <c r="AJ18" i="102" s="1"/>
  <c r="A19" i="102"/>
  <c r="L19" i="102" s="1"/>
  <c r="M19" i="102" s="1"/>
  <c r="A40" i="102"/>
  <c r="AM40" i="102" s="1"/>
  <c r="A22" i="117"/>
  <c r="U22" i="117" s="1"/>
  <c r="A28" i="117"/>
  <c r="O28" i="117" s="1"/>
  <c r="A54" i="117"/>
  <c r="G54" i="117" s="1"/>
  <c r="A87" i="117"/>
  <c r="U87" i="117" s="1"/>
  <c r="A27" i="118"/>
  <c r="O27" i="118" s="1"/>
  <c r="A37" i="118"/>
  <c r="L39" i="101"/>
  <c r="D29" i="79"/>
  <c r="E32" i="85"/>
  <c r="F32" i="85" s="1"/>
  <c r="A38" i="89"/>
  <c r="A31" i="89"/>
  <c r="D31" i="89" s="1"/>
  <c r="A27" i="89"/>
  <c r="G27" i="89" s="1"/>
  <c r="A23" i="89"/>
  <c r="A19" i="89"/>
  <c r="D19" i="89" s="1"/>
  <c r="A21" i="94"/>
  <c r="G21" i="94" s="1"/>
  <c r="A31" i="94"/>
  <c r="U31" i="94" s="1"/>
  <c r="A35" i="94"/>
  <c r="N35" i="94" s="1"/>
  <c r="A22" i="94"/>
  <c r="G22" i="94" s="1"/>
  <c r="A30" i="94"/>
  <c r="A24" i="96"/>
  <c r="N24" i="96" s="1"/>
  <c r="A33" i="96"/>
  <c r="G33" i="96" s="1"/>
  <c r="A17" i="96"/>
  <c r="A26" i="96"/>
  <c r="O26" i="96" s="1"/>
  <c r="A27" i="96"/>
  <c r="O27" i="96" s="1"/>
  <c r="A39" i="94"/>
  <c r="G39" i="94" s="1"/>
  <c r="A39" i="96"/>
  <c r="U39" i="96" s="1"/>
  <c r="A20" i="101"/>
  <c r="A28" i="101"/>
  <c r="Y28" i="101" s="1"/>
  <c r="A29" i="101"/>
  <c r="G29" i="101" s="1"/>
  <c r="A31" i="101"/>
  <c r="A36" i="101"/>
  <c r="AM9" i="102"/>
  <c r="A36" i="102"/>
  <c r="AL36" i="102" s="1"/>
  <c r="A33" i="102"/>
  <c r="G33" i="102" s="1"/>
  <c r="A34" i="102"/>
  <c r="V34" i="102" s="1"/>
  <c r="A40" i="101"/>
  <c r="V40" i="101" s="1"/>
  <c r="A37" i="101"/>
  <c r="L37" i="101" s="1"/>
  <c r="M37" i="101" s="1"/>
  <c r="A33" i="101"/>
  <c r="J33" i="101" s="1"/>
  <c r="A26" i="101"/>
  <c r="A39" i="102"/>
  <c r="W39" i="102" s="1"/>
  <c r="A23" i="102"/>
  <c r="A30" i="102"/>
  <c r="L30" i="102" s="1"/>
  <c r="M30" i="102" s="1"/>
  <c r="A37" i="102"/>
  <c r="W37" i="102" s="1"/>
  <c r="A21" i="102"/>
  <c r="AH21" i="102" s="1"/>
  <c r="A28" i="102"/>
  <c r="S28" i="102" s="1"/>
  <c r="O9" i="102"/>
  <c r="A39" i="107"/>
  <c r="A18" i="107"/>
  <c r="D18" i="107" s="1"/>
  <c r="A34" i="107"/>
  <c r="G34" i="107" s="1"/>
  <c r="A25" i="107"/>
  <c r="A16" i="107"/>
  <c r="D16" i="107" s="1"/>
  <c r="A32" i="107"/>
  <c r="A27" i="107"/>
  <c r="G27" i="107" s="1"/>
  <c r="A103" i="117"/>
  <c r="G103" i="117" s="1"/>
  <c r="A37" i="117"/>
  <c r="H37" i="117" s="1"/>
  <c r="A98" i="117"/>
  <c r="N98" i="117" s="1"/>
  <c r="A93" i="117"/>
  <c r="A84" i="117"/>
  <c r="H84" i="117" s="1"/>
  <c r="A100" i="117"/>
  <c r="U100" i="117" s="1"/>
  <c r="A91" i="117"/>
  <c r="N91" i="117" s="1"/>
  <c r="A59" i="117"/>
  <c r="G59" i="117" s="1"/>
  <c r="A58" i="117"/>
  <c r="V58" i="117" s="1"/>
  <c r="A49" i="117"/>
  <c r="H49" i="117" s="1"/>
  <c r="A65" i="117"/>
  <c r="V65" i="117" s="1"/>
  <c r="A60" i="117"/>
  <c r="H60" i="117" s="1"/>
  <c r="Q9" i="117"/>
  <c r="A32" i="117"/>
  <c r="A19" i="117"/>
  <c r="A35" i="117"/>
  <c r="N35" i="117" s="1"/>
  <c r="A26" i="117"/>
  <c r="V26" i="117" s="1"/>
  <c r="J9" i="117"/>
  <c r="A33" i="117"/>
  <c r="H33" i="117" s="1"/>
  <c r="A71" i="117"/>
  <c r="A40" i="117"/>
  <c r="H40" i="117" s="1"/>
  <c r="A86" i="117"/>
  <c r="N86" i="117" s="1"/>
  <c r="A81" i="117"/>
  <c r="O81" i="117" s="1"/>
  <c r="A97" i="117"/>
  <c r="U97" i="117" s="1"/>
  <c r="A88" i="117"/>
  <c r="O88" i="117" s="1"/>
  <c r="A95" i="117"/>
  <c r="N95" i="117" s="1"/>
  <c r="A63" i="117"/>
  <c r="G63" i="117" s="1"/>
  <c r="A51" i="117"/>
  <c r="A62" i="117"/>
  <c r="N62" i="117" s="1"/>
  <c r="A53" i="117"/>
  <c r="O53" i="117" s="1"/>
  <c r="A69" i="117"/>
  <c r="G69" i="117" s="1"/>
  <c r="A64" i="117"/>
  <c r="A20" i="117"/>
  <c r="V20" i="117" s="1"/>
  <c r="A36" i="117"/>
  <c r="N36" i="117" s="1"/>
  <c r="A23" i="117"/>
  <c r="N23" i="117" s="1"/>
  <c r="A39" i="117"/>
  <c r="G39" i="117" s="1"/>
  <c r="A30" i="117"/>
  <c r="U30" i="117" s="1"/>
  <c r="A21" i="117"/>
  <c r="V21" i="117" s="1"/>
  <c r="A102" i="117"/>
  <c r="V102" i="117" s="1"/>
  <c r="A41" i="117"/>
  <c r="N41" i="117" s="1"/>
  <c r="A90" i="117"/>
  <c r="V90" i="117" s="1"/>
  <c r="A85" i="117"/>
  <c r="A101" i="117"/>
  <c r="O101" i="117" s="1"/>
  <c r="A92" i="117"/>
  <c r="G92" i="117" s="1"/>
  <c r="A83" i="117"/>
  <c r="A99" i="117"/>
  <c r="A67" i="117"/>
  <c r="H67" i="117" s="1"/>
  <c r="A50" i="117"/>
  <c r="O50" i="117" s="1"/>
  <c r="A66" i="117"/>
  <c r="H66" i="117" s="1"/>
  <c r="A57" i="117"/>
  <c r="N57" i="117" s="1"/>
  <c r="A52" i="117"/>
  <c r="N52" i="117" s="1"/>
  <c r="A68" i="117"/>
  <c r="O68" i="117" s="1"/>
  <c r="A24" i="117"/>
  <c r="O24" i="117" s="1"/>
  <c r="A27" i="117"/>
  <c r="N27" i="117" s="1"/>
  <c r="A18" i="117"/>
  <c r="N18" i="117" s="1"/>
  <c r="A34" i="117"/>
  <c r="H34" i="117" s="1"/>
  <c r="A25" i="117"/>
  <c r="O25" i="117" s="1"/>
  <c r="A39" i="113"/>
  <c r="J39" i="113" s="1"/>
  <c r="A33" i="113"/>
  <c r="G33" i="113" s="1"/>
  <c r="A36" i="113"/>
  <c r="J36" i="113" s="1"/>
  <c r="A19" i="113"/>
  <c r="J19" i="113" s="1"/>
  <c r="A23" i="113"/>
  <c r="J23" i="113" s="1"/>
  <c r="A27" i="113"/>
  <c r="D27" i="113" s="1"/>
  <c r="A30" i="113"/>
  <c r="D30" i="113" s="1"/>
  <c r="A38" i="114"/>
  <c r="A18" i="114"/>
  <c r="A22" i="114"/>
  <c r="A26" i="114"/>
  <c r="G26" i="114" s="1"/>
  <c r="A30" i="114"/>
  <c r="A34" i="114"/>
  <c r="A29" i="117"/>
  <c r="O29" i="117" s="1"/>
  <c r="A56" i="117"/>
  <c r="U56" i="117" s="1"/>
  <c r="A94" i="117"/>
  <c r="H94" i="117" s="1"/>
  <c r="A36" i="108"/>
  <c r="A32" i="108"/>
  <c r="D32" i="108" s="1"/>
  <c r="A28" i="108"/>
  <c r="D28" i="108" s="1"/>
  <c r="A24" i="108"/>
  <c r="D24" i="108" s="1"/>
  <c r="A20" i="108"/>
  <c r="A34" i="109"/>
  <c r="G34" i="109" s="1"/>
  <c r="A30" i="109"/>
  <c r="J30" i="109" s="1"/>
  <c r="A26" i="109"/>
  <c r="A22" i="109"/>
  <c r="A36" i="110"/>
  <c r="A32" i="110"/>
  <c r="G32" i="110" s="1"/>
  <c r="A28" i="110"/>
  <c r="D28" i="110" s="1"/>
  <c r="A24" i="110"/>
  <c r="A20" i="110"/>
  <c r="J20" i="110" s="1"/>
  <c r="A16" i="110"/>
  <c r="A34" i="112"/>
  <c r="J34" i="112" s="1"/>
  <c r="A30" i="112"/>
  <c r="A26" i="112"/>
  <c r="J26" i="112" s="1"/>
  <c r="A22" i="112"/>
  <c r="J22" i="112" s="1"/>
  <c r="A18" i="112"/>
  <c r="J18" i="112" s="1"/>
  <c r="A31" i="118"/>
  <c r="H31" i="118" s="1"/>
  <c r="J9" i="118"/>
  <c r="A24" i="118"/>
  <c r="A33" i="118"/>
  <c r="O33" i="118" s="1"/>
  <c r="A17" i="118"/>
  <c r="Q9" i="118"/>
  <c r="A26" i="118"/>
  <c r="H26" i="118" s="1"/>
  <c r="A20" i="118"/>
  <c r="V20" i="118" s="1"/>
  <c r="A29" i="118"/>
  <c r="A23" i="118"/>
  <c r="O23" i="118" s="1"/>
  <c r="A32" i="118"/>
  <c r="V32" i="118" s="1"/>
  <c r="A16" i="118"/>
  <c r="A25" i="118"/>
  <c r="H25" i="118" s="1"/>
  <c r="A22" i="118"/>
  <c r="O22" i="118" s="1"/>
  <c r="A34" i="118"/>
  <c r="O34" i="118" s="1"/>
  <c r="A38" i="118"/>
  <c r="V38" i="118" s="1"/>
  <c r="D103" i="71"/>
  <c r="D117" i="71"/>
  <c r="AR28" i="79"/>
  <c r="AD28" i="79"/>
  <c r="AE28" i="79" s="1"/>
  <c r="O28" i="79"/>
  <c r="P28" i="79" s="1"/>
  <c r="S20" i="79"/>
  <c r="E117" i="71"/>
  <c r="L17" i="79"/>
  <c r="M17" i="79" s="1"/>
  <c r="G95" i="71"/>
  <c r="G97" i="71"/>
  <c r="G99" i="71"/>
  <c r="G101" i="71"/>
  <c r="G109" i="71"/>
  <c r="G111" i="71"/>
  <c r="G113" i="71"/>
  <c r="G115" i="71"/>
  <c r="G33" i="79"/>
  <c r="L36" i="79"/>
  <c r="M36" i="79" s="1"/>
  <c r="AP33" i="79"/>
  <c r="AQ33" i="79" s="1"/>
  <c r="O30" i="79"/>
  <c r="P30" i="79" s="1"/>
  <c r="Z37" i="79"/>
  <c r="J30" i="79"/>
  <c r="Y21" i="79"/>
  <c r="AH39" i="79"/>
  <c r="G37" i="79"/>
  <c r="L39" i="79"/>
  <c r="AK30" i="79"/>
  <c r="V57" i="78"/>
  <c r="J31" i="79"/>
  <c r="AD22" i="79"/>
  <c r="AE22" i="79" s="1"/>
  <c r="D38" i="79"/>
  <c r="N20" i="79"/>
  <c r="L22" i="79"/>
  <c r="M22" i="79" s="1"/>
  <c r="K20" i="79"/>
  <c r="Z38" i="79"/>
  <c r="AR29" i="79"/>
  <c r="AR18" i="79"/>
  <c r="D37" i="79"/>
  <c r="J21" i="79"/>
  <c r="G30" i="79"/>
  <c r="J36" i="79"/>
  <c r="N37" i="79"/>
  <c r="O23" i="79"/>
  <c r="P23" i="79" s="1"/>
  <c r="O36" i="79"/>
  <c r="P36" i="79" s="1"/>
  <c r="K23" i="79"/>
  <c r="N39" i="79"/>
  <c r="Y39" i="79"/>
  <c r="V21" i="79"/>
  <c r="AD31" i="79"/>
  <c r="AE31" i="79" s="1"/>
  <c r="AK39" i="79"/>
  <c r="AS30" i="79"/>
  <c r="AT30" i="79" s="1"/>
  <c r="J37" i="79"/>
  <c r="G23" i="79"/>
  <c r="G36" i="79"/>
  <c r="N30" i="79"/>
  <c r="L37" i="79"/>
  <c r="M37" i="79" s="1"/>
  <c r="K30" i="79"/>
  <c r="G39" i="79"/>
  <c r="V36" i="79"/>
  <c r="Z23" i="79"/>
  <c r="S37" i="79"/>
  <c r="AS37" i="79"/>
  <c r="AT37" i="79" s="1"/>
  <c r="D21" i="79"/>
  <c r="O21" i="79"/>
  <c r="P21" i="79" s="1"/>
  <c r="N36" i="79"/>
  <c r="K21" i="79"/>
  <c r="D39" i="79"/>
  <c r="Z36" i="79"/>
  <c r="AD23" i="79"/>
  <c r="Y37" i="79"/>
  <c r="AO30" i="79"/>
  <c r="AN37" i="79"/>
  <c r="D40" i="99"/>
  <c r="V40" i="99"/>
  <c r="V24" i="101"/>
  <c r="G38" i="107"/>
  <c r="AJ21" i="78"/>
  <c r="AK21" i="78" s="1"/>
  <c r="AB42" i="78"/>
  <c r="AP22" i="79"/>
  <c r="AQ22" i="79" s="1"/>
  <c r="N22" i="79"/>
  <c r="AN38" i="79"/>
  <c r="K28" i="79"/>
  <c r="G28" i="79"/>
  <c r="O40" i="99"/>
  <c r="P40" i="99" s="1"/>
  <c r="J38" i="107"/>
  <c r="D21" i="78"/>
  <c r="AJ57" i="78"/>
  <c r="K32" i="79"/>
  <c r="AO32" i="79"/>
  <c r="G42" i="90"/>
  <c r="V42" i="90"/>
  <c r="Y42" i="90"/>
  <c r="Z40" i="99"/>
  <c r="O29" i="94"/>
  <c r="J42" i="90"/>
  <c r="M42" i="90"/>
  <c r="G23" i="96"/>
  <c r="AR25" i="79"/>
  <c r="AP18" i="79"/>
  <c r="AQ18" i="79" s="1"/>
  <c r="D18" i="79"/>
  <c r="G18" i="79"/>
  <c r="S18" i="79"/>
  <c r="N18" i="79"/>
  <c r="AP27" i="79"/>
  <c r="AQ27" i="79" s="1"/>
  <c r="Z27" i="79"/>
  <c r="AC27" i="79"/>
  <c r="O27" i="79"/>
  <c r="P27" i="79" s="1"/>
  <c r="D27" i="79"/>
  <c r="S27" i="79"/>
  <c r="N27" i="79"/>
  <c r="L24" i="79"/>
  <c r="M24" i="79" s="1"/>
  <c r="W39" i="90"/>
  <c r="AH34" i="79"/>
  <c r="AK34" i="79"/>
  <c r="V34" i="79"/>
  <c r="AC34" i="79"/>
  <c r="L34" i="79"/>
  <c r="M34" i="79" s="1"/>
  <c r="G34" i="79"/>
  <c r="AH40" i="79"/>
  <c r="AO40" i="79"/>
  <c r="S40" i="79"/>
  <c r="M40" i="79"/>
  <c r="N40" i="79"/>
  <c r="D40" i="79"/>
  <c r="AR40" i="79"/>
  <c r="AD40" i="79"/>
  <c r="J40" i="79"/>
  <c r="V40" i="79"/>
  <c r="G40" i="79"/>
  <c r="G36" i="89"/>
  <c r="J36" i="89"/>
  <c r="AN25" i="79"/>
  <c r="V25" i="79"/>
  <c r="N25" i="79"/>
  <c r="G25" i="79"/>
  <c r="AP25" i="79"/>
  <c r="AQ25" i="79" s="1"/>
  <c r="Z25" i="79"/>
  <c r="K25" i="79"/>
  <c r="P25" i="79"/>
  <c r="AR24" i="79"/>
  <c r="AP24" i="79"/>
  <c r="AQ24" i="79" s="1"/>
  <c r="D24" i="79"/>
  <c r="AA24" i="79"/>
  <c r="AB24" i="79" s="1"/>
  <c r="O24" i="79"/>
  <c r="P24" i="79" s="1"/>
  <c r="J27" i="79"/>
  <c r="L25" i="79"/>
  <c r="M25" i="79" s="1"/>
  <c r="V53" i="78"/>
  <c r="D36" i="89"/>
  <c r="S30" i="79"/>
  <c r="AA33" i="79"/>
  <c r="AB33" i="79" s="1"/>
  <c r="AD40" i="99"/>
  <c r="AE40" i="99" s="1"/>
  <c r="Y40" i="99"/>
  <c r="AP40" i="99"/>
  <c r="AK40" i="99"/>
  <c r="K40" i="99"/>
  <c r="S40" i="99"/>
  <c r="L40" i="99"/>
  <c r="M40" i="99" s="1"/>
  <c r="AT40" i="99"/>
  <c r="N40" i="99"/>
  <c r="AN40" i="99"/>
  <c r="J40" i="99"/>
  <c r="AO40" i="99"/>
  <c r="AA24" i="101"/>
  <c r="AB24" i="101" s="1"/>
  <c r="G24" i="101"/>
  <c r="AD19" i="79"/>
  <c r="AE19" i="79" s="1"/>
  <c r="K19" i="79"/>
  <c r="O19" i="79"/>
  <c r="P19" i="79" s="1"/>
  <c r="AC19" i="79"/>
  <c r="J17" i="79"/>
  <c r="G26" i="79"/>
  <c r="AA32" i="79"/>
  <c r="AB32" i="79" s="1"/>
  <c r="AS21" i="79"/>
  <c r="AT21" i="79" s="1"/>
  <c r="L21" i="79"/>
  <c r="M21" i="79" s="1"/>
  <c r="N21" i="79"/>
  <c r="G21" i="79"/>
  <c r="AO21" i="79"/>
  <c r="AC21" i="79"/>
  <c r="AA21" i="79"/>
  <c r="AB21" i="79" s="1"/>
  <c r="O37" i="79"/>
  <c r="P37" i="79" s="1"/>
  <c r="AP37" i="79"/>
  <c r="AQ37" i="79" s="1"/>
  <c r="AD37" i="79"/>
  <c r="AA37" i="79"/>
  <c r="K37" i="79"/>
  <c r="AP30" i="79"/>
  <c r="AQ30" i="79" s="1"/>
  <c r="AA30" i="79"/>
  <c r="AB30" i="79" s="1"/>
  <c r="Z30" i="79"/>
  <c r="D30" i="79"/>
  <c r="AN30" i="79"/>
  <c r="L30" i="79"/>
  <c r="M30" i="79" s="1"/>
  <c r="S23" i="79"/>
  <c r="AK23" i="79"/>
  <c r="AC23" i="79"/>
  <c r="J23" i="79"/>
  <c r="AS23" i="79"/>
  <c r="AT23" i="79" s="1"/>
  <c r="L23" i="79"/>
  <c r="M23" i="79" s="1"/>
  <c r="N23" i="79"/>
  <c r="J39" i="79"/>
  <c r="AO39" i="79"/>
  <c r="K39" i="79"/>
  <c r="O39" i="79"/>
  <c r="P39" i="79" s="1"/>
  <c r="M39" i="79"/>
  <c r="AN39" i="79"/>
  <c r="AA39" i="79"/>
  <c r="AB39" i="79" s="1"/>
  <c r="Z39" i="79"/>
  <c r="AN36" i="79"/>
  <c r="S36" i="79"/>
  <c r="AA36" i="79"/>
  <c r="AB36" i="79" s="1"/>
  <c r="K36" i="79"/>
  <c r="D36" i="79"/>
  <c r="AP36" i="79"/>
  <c r="AQ36" i="79" s="1"/>
  <c r="AC36" i="79"/>
  <c r="AR17" i="79"/>
  <c r="S17" i="79"/>
  <c r="AD17" i="79"/>
  <c r="AE17" i="79" s="1"/>
  <c r="L35" i="79"/>
  <c r="M35" i="79" s="1"/>
  <c r="O35" i="79"/>
  <c r="P35" i="79" s="1"/>
  <c r="AK35" i="79"/>
  <c r="AN35" i="79"/>
  <c r="J19" i="79"/>
  <c r="D35" i="79"/>
  <c r="V17" i="79"/>
  <c r="AS19" i="79"/>
  <c r="AT19" i="79" s="1"/>
  <c r="S42" i="90"/>
  <c r="AE42" i="90"/>
  <c r="D42" i="90"/>
  <c r="K42" i="90"/>
  <c r="X42" i="90"/>
  <c r="W42" i="90"/>
  <c r="K33" i="79"/>
  <c r="J33" i="79"/>
  <c r="AK33" i="79"/>
  <c r="K26" i="79"/>
  <c r="AS26" i="79"/>
  <c r="AT26" i="79" s="1"/>
  <c r="Y26" i="79"/>
  <c r="N26" i="79"/>
  <c r="J26" i="79"/>
  <c r="AD26" i="79"/>
  <c r="AE26" i="79" s="1"/>
  <c r="AR32" i="79"/>
  <c r="O32" i="79"/>
  <c r="P32" i="79" s="1"/>
  <c r="J32" i="79"/>
  <c r="D19" i="79"/>
  <c r="G35" i="79"/>
  <c r="N17" i="79"/>
  <c r="AN21" i="78"/>
  <c r="AD35" i="79"/>
  <c r="AE35" i="79" s="1"/>
  <c r="V26" i="79"/>
  <c r="AP32" i="79"/>
  <c r="AQ32" i="79" s="1"/>
  <c r="AP26" i="79"/>
  <c r="AQ26" i="79" s="1"/>
  <c r="J34" i="79"/>
  <c r="G24" i="79"/>
  <c r="D25" i="79"/>
  <c r="N34" i="79"/>
  <c r="P40" i="79"/>
  <c r="L18" i="79"/>
  <c r="M18" i="79" s="1"/>
  <c r="K24" i="79"/>
  <c r="L40" i="79"/>
  <c r="K27" i="79"/>
  <c r="AE40" i="79"/>
  <c r="S24" i="79"/>
  <c r="V27" i="79"/>
  <c r="Y34" i="79"/>
  <c r="V18" i="79"/>
  <c r="AO27" i="79"/>
  <c r="AN18" i="79"/>
  <c r="AO34" i="79"/>
  <c r="G79" i="71"/>
  <c r="G81" i="71"/>
  <c r="G83" i="71"/>
  <c r="G85" i="71"/>
  <c r="G87" i="71"/>
  <c r="L33" i="99"/>
  <c r="M33" i="99" s="1"/>
  <c r="AP39" i="101"/>
  <c r="AQ39" i="101" s="1"/>
  <c r="AD39" i="101"/>
  <c r="AO39" i="101"/>
  <c r="D39" i="101"/>
  <c r="AK39" i="101"/>
  <c r="K39" i="101"/>
  <c r="V39" i="101"/>
  <c r="AS39" i="101"/>
  <c r="AT39" i="101" s="1"/>
  <c r="AN39" i="101"/>
  <c r="O39" i="101"/>
  <c r="P39" i="101" s="1"/>
  <c r="AH39" i="101"/>
  <c r="AA39" i="101"/>
  <c r="AB39" i="101" s="1"/>
  <c r="AC39" i="101"/>
  <c r="J39" i="101"/>
  <c r="AR39" i="101"/>
  <c r="S39" i="101"/>
  <c r="AB31" i="102"/>
  <c r="AH31" i="102"/>
  <c r="S31" i="102"/>
  <c r="AI31" i="102"/>
  <c r="J38" i="112"/>
  <c r="D38" i="112"/>
  <c r="G29" i="113"/>
  <c r="F117" i="71"/>
  <c r="G29" i="99"/>
  <c r="AR29" i="99"/>
  <c r="L29" i="99"/>
  <c r="M29" i="99" s="1"/>
  <c r="AS29" i="99"/>
  <c r="AT29" i="99" s="1"/>
  <c r="AA29" i="99"/>
  <c r="AB29" i="99" s="1"/>
  <c r="AN20" i="79"/>
  <c r="AP20" i="79"/>
  <c r="AQ20" i="79" s="1"/>
  <c r="AH20" i="79"/>
  <c r="AD20" i="79"/>
  <c r="AE20" i="79" s="1"/>
  <c r="Y20" i="79"/>
  <c r="AA20" i="79"/>
  <c r="AB20" i="79" s="1"/>
  <c r="AQ29" i="79"/>
  <c r="AS29" i="79"/>
  <c r="AT29" i="79" s="1"/>
  <c r="V29" i="79"/>
  <c r="S29" i="79"/>
  <c r="AA22" i="79"/>
  <c r="AB22" i="79" s="1"/>
  <c r="AP38" i="79"/>
  <c r="AS38" i="79"/>
  <c r="AT38" i="79" s="1"/>
  <c r="Y38" i="79"/>
  <c r="S38" i="79"/>
  <c r="AH31" i="79"/>
  <c r="AR31" i="79"/>
  <c r="AA31" i="79"/>
  <c r="AB31" i="79" s="1"/>
  <c r="V31" i="79"/>
  <c r="AO28" i="79"/>
  <c r="AC28" i="79"/>
  <c r="V28" i="79"/>
  <c r="Y31" i="99"/>
  <c r="S31" i="99"/>
  <c r="AK31" i="99"/>
  <c r="Z31" i="99"/>
  <c r="J31" i="99"/>
  <c r="V32" i="72"/>
  <c r="S29" i="78"/>
  <c r="J21" i="78"/>
  <c r="G21" i="78"/>
  <c r="L21" i="78"/>
  <c r="M21" i="78" s="1"/>
  <c r="L34" i="78"/>
  <c r="M34" i="78" s="1"/>
  <c r="AI29" i="78"/>
  <c r="AI21" i="78"/>
  <c r="AH21" i="78"/>
  <c r="K74" i="78"/>
  <c r="S59" i="78"/>
  <c r="AN57" i="78"/>
  <c r="J18" i="79"/>
  <c r="J24" i="79"/>
  <c r="D20" i="79"/>
  <c r="G29" i="79"/>
  <c r="G27" i="79"/>
  <c r="J25" i="79"/>
  <c r="G22" i="79"/>
  <c r="D31" i="79"/>
  <c r="J28" i="79"/>
  <c r="O34" i="79"/>
  <c r="P34" i="79" s="1"/>
  <c r="O18" i="79"/>
  <c r="P18" i="79" s="1"/>
  <c r="N24" i="79"/>
  <c r="O40" i="79"/>
  <c r="O29" i="79"/>
  <c r="P29" i="79" s="1"/>
  <c r="O31" i="79"/>
  <c r="P31" i="79" s="1"/>
  <c r="L38" i="79"/>
  <c r="M38" i="79" s="1"/>
  <c r="K31" i="79"/>
  <c r="K34" i="79"/>
  <c r="K40" i="79"/>
  <c r="K29" i="79"/>
  <c r="AB40" i="79"/>
  <c r="AC40" i="79"/>
  <c r="Y24" i="79"/>
  <c r="AD24" i="79"/>
  <c r="AE24" i="79" s="1"/>
  <c r="AA27" i="79"/>
  <c r="AB27" i="79" s="1"/>
  <c r="S34" i="79"/>
  <c r="AC18" i="79"/>
  <c r="AA25" i="79"/>
  <c r="AB25" i="79" s="1"/>
  <c r="Y25" i="79"/>
  <c r="Y28" i="79"/>
  <c r="Y31" i="79"/>
  <c r="AD38" i="79"/>
  <c r="AE38" i="79" s="1"/>
  <c r="V38" i="79"/>
  <c r="AC22" i="79"/>
  <c r="AD29" i="79"/>
  <c r="AE29" i="79" s="1"/>
  <c r="Z29" i="79"/>
  <c r="Z20" i="79"/>
  <c r="AK28" i="79"/>
  <c r="AP28" i="79"/>
  <c r="AQ28" i="79" s="1"/>
  <c r="AR38" i="79"/>
  <c r="AK38" i="79"/>
  <c r="AK29" i="79"/>
  <c r="AQ40" i="79"/>
  <c r="AS40" i="79"/>
  <c r="AS27" i="79"/>
  <c r="AT27" i="79" s="1"/>
  <c r="AH18" i="79"/>
  <c r="AK31" i="79"/>
  <c r="AS31" i="79"/>
  <c r="AT31" i="79" s="1"/>
  <c r="AS22" i="79"/>
  <c r="AT22" i="79" s="1"/>
  <c r="AN22" i="79"/>
  <c r="AR20" i="79"/>
  <c r="AN24" i="79"/>
  <c r="AS34" i="79"/>
  <c r="AT34" i="79" s="1"/>
  <c r="F88" i="71"/>
  <c r="AK29" i="99"/>
  <c r="V34" i="78"/>
  <c r="V21" i="78"/>
  <c r="S21" i="78"/>
  <c r="W21" i="78"/>
  <c r="AH29" i="78"/>
  <c r="AB21" i="78"/>
  <c r="AE21" i="78"/>
  <c r="AE59" i="78"/>
  <c r="AN59" i="78"/>
  <c r="J57" i="78"/>
  <c r="G20" i="79"/>
  <c r="J29" i="79"/>
  <c r="G38" i="79"/>
  <c r="J22" i="79"/>
  <c r="G31" i="79"/>
  <c r="O20" i="79"/>
  <c r="P20" i="79" s="1"/>
  <c r="O38" i="79"/>
  <c r="P38" i="79" s="1"/>
  <c r="O22" i="79"/>
  <c r="P22" i="79" s="1"/>
  <c r="N28" i="79"/>
  <c r="K22" i="79"/>
  <c r="L28" i="79"/>
  <c r="M28" i="79" s="1"/>
  <c r="L20" i="79"/>
  <c r="M20" i="79" s="1"/>
  <c r="L27" i="79"/>
  <c r="M27" i="79" s="1"/>
  <c r="AA40" i="79"/>
  <c r="Z40" i="79"/>
  <c r="V24" i="79"/>
  <c r="AC24" i="79"/>
  <c r="Y27" i="79"/>
  <c r="AD27" i="79"/>
  <c r="AE27" i="79" s="1"/>
  <c r="Z34" i="79"/>
  <c r="AD18" i="79"/>
  <c r="AE18" i="79" s="1"/>
  <c r="Y18" i="79"/>
  <c r="S28" i="79"/>
  <c r="AA28" i="79"/>
  <c r="AB28" i="79" s="1"/>
  <c r="AC31" i="79"/>
  <c r="S31" i="79"/>
  <c r="Y22" i="79"/>
  <c r="S22" i="79"/>
  <c r="Y29" i="79"/>
  <c r="AS28" i="79"/>
  <c r="AT28" i="79" s="1"/>
  <c r="AH38" i="79"/>
  <c r="AO29" i="79"/>
  <c r="AN27" i="79"/>
  <c r="AN31" i="79"/>
  <c r="AR22" i="79"/>
  <c r="AK22" i="79"/>
  <c r="AO20" i="79"/>
  <c r="AR21" i="79"/>
  <c r="AH21" i="79"/>
  <c r="AD21" i="79"/>
  <c r="AE21" i="79" s="1"/>
  <c r="S21" i="79"/>
  <c r="AK37" i="79"/>
  <c r="AH37" i="79"/>
  <c r="AE37" i="79"/>
  <c r="AH30" i="79"/>
  <c r="V30" i="79"/>
  <c r="AD30" i="79"/>
  <c r="AE30" i="79" s="1"/>
  <c r="AP23" i="79"/>
  <c r="AQ23" i="79" s="1"/>
  <c r="AO23" i="79"/>
  <c r="V23" i="79"/>
  <c r="Y23" i="79"/>
  <c r="AR39" i="79"/>
  <c r="AD39" i="79"/>
  <c r="AE39" i="79" s="1"/>
  <c r="AH36" i="79"/>
  <c r="AD36" i="79"/>
  <c r="AE36" i="79" s="1"/>
  <c r="Y36" i="79"/>
  <c r="E88" i="71"/>
  <c r="N40" i="94"/>
  <c r="H40" i="94"/>
  <c r="G40" i="96"/>
  <c r="N40" i="96"/>
  <c r="G34" i="78"/>
  <c r="P21" i="78"/>
  <c r="K21" i="78"/>
  <c r="Y21" i="78"/>
  <c r="J59" i="78"/>
  <c r="J20" i="79"/>
  <c r="J38" i="79"/>
  <c r="D22" i="79"/>
  <c r="D28" i="79"/>
  <c r="N29" i="79"/>
  <c r="N38" i="79"/>
  <c r="N31" i="79"/>
  <c r="K38" i="79"/>
  <c r="L31" i="79"/>
  <c r="M31" i="79" s="1"/>
  <c r="L29" i="79"/>
  <c r="M29" i="79" s="1"/>
  <c r="Z28" i="79"/>
  <c r="Z31" i="79"/>
  <c r="AC38" i="79"/>
  <c r="AA38" i="79"/>
  <c r="AB38" i="79" s="1"/>
  <c r="Z22" i="79"/>
  <c r="V22" i="79"/>
  <c r="AA29" i="79"/>
  <c r="AB29" i="79" s="1"/>
  <c r="AC29" i="79"/>
  <c r="AC20" i="79"/>
  <c r="AN28" i="79"/>
  <c r="AO38" i="79"/>
  <c r="AQ38" i="79"/>
  <c r="AH29" i="79"/>
  <c r="AN29" i="79"/>
  <c r="AO31" i="79"/>
  <c r="AP31" i="79"/>
  <c r="AQ31" i="79" s="1"/>
  <c r="AH22" i="79"/>
  <c r="AK20" i="79"/>
  <c r="AS20" i="79"/>
  <c r="AT20" i="79" s="1"/>
  <c r="AK25" i="79"/>
  <c r="AS25" i="79"/>
  <c r="AT25" i="79" s="1"/>
  <c r="AH25" i="79"/>
  <c r="AO25" i="79"/>
  <c r="AC25" i="79"/>
  <c r="AD25" i="79"/>
  <c r="AE25" i="79" s="1"/>
  <c r="S25" i="79"/>
  <c r="AK18" i="79"/>
  <c r="AS18" i="79"/>
  <c r="AT18" i="79" s="1"/>
  <c r="AA18" i="79"/>
  <c r="AB18" i="79" s="1"/>
  <c r="Z18" i="79"/>
  <c r="AR34" i="79"/>
  <c r="AP34" i="79"/>
  <c r="AQ34" i="79" s="1"/>
  <c r="AN34" i="79"/>
  <c r="AA34" i="79"/>
  <c r="AB34" i="79" s="1"/>
  <c r="AD34" i="79"/>
  <c r="AE34" i="79" s="1"/>
  <c r="AH27" i="79"/>
  <c r="AR27" i="79"/>
  <c r="AO24" i="79"/>
  <c r="AS24" i="79"/>
  <c r="AT24" i="79" s="1"/>
  <c r="AK24" i="79"/>
  <c r="AT40" i="79"/>
  <c r="AP40" i="79"/>
  <c r="AK40" i="79"/>
  <c r="D88" i="71"/>
  <c r="W55" i="90"/>
  <c r="F103" i="71"/>
  <c r="G94" i="71"/>
  <c r="J21" i="108"/>
  <c r="J17" i="110"/>
  <c r="G19" i="114"/>
  <c r="J19" i="114"/>
  <c r="D19" i="114"/>
  <c r="O23" i="96"/>
  <c r="J16" i="108"/>
  <c r="G16" i="108"/>
  <c r="D16" i="108"/>
  <c r="D18" i="109"/>
  <c r="J18" i="109"/>
  <c r="V18" i="94"/>
  <c r="Y33" i="99"/>
  <c r="D27" i="101"/>
  <c r="G22" i="102"/>
  <c r="V31" i="102"/>
  <c r="AJ31" i="102"/>
  <c r="AK31" i="102" s="1"/>
  <c r="D31" i="102"/>
  <c r="K31" i="102"/>
  <c r="J31" i="102"/>
  <c r="L31" i="102"/>
  <c r="M31" i="102" s="1"/>
  <c r="W31" i="102"/>
  <c r="X31" i="102"/>
  <c r="Y31" i="102" s="1"/>
  <c r="AM31" i="102"/>
  <c r="AN31" i="102" s="1"/>
  <c r="P31" i="102"/>
  <c r="U18" i="94"/>
  <c r="H23" i="96"/>
  <c r="AK35" i="99"/>
  <c r="AR40" i="99"/>
  <c r="AC40" i="99"/>
  <c r="G40" i="99"/>
  <c r="AH40" i="99"/>
  <c r="AQ40" i="99"/>
  <c r="AA40" i="99"/>
  <c r="AB40" i="99" s="1"/>
  <c r="O24" i="101"/>
  <c r="P24" i="101" s="1"/>
  <c r="AH24" i="101"/>
  <c r="O25" i="101"/>
  <c r="P25" i="101" s="1"/>
  <c r="L17" i="102"/>
  <c r="M17" i="102" s="1"/>
  <c r="J19" i="102"/>
  <c r="V19" i="102"/>
  <c r="N39" i="101"/>
  <c r="M39" i="101"/>
  <c r="AE39" i="101"/>
  <c r="G39" i="101"/>
  <c r="Z39" i="101"/>
  <c r="Y39" i="101"/>
  <c r="G80" i="117"/>
  <c r="V89" i="117"/>
  <c r="G89" i="117"/>
  <c r="G96" i="71"/>
  <c r="G38" i="110"/>
  <c r="G98" i="71"/>
  <c r="G100" i="71"/>
  <c r="G112" i="71"/>
  <c r="G114" i="71"/>
  <c r="AN33" i="79"/>
  <c r="AR33" i="79"/>
  <c r="AO33" i="79"/>
  <c r="AH33" i="79"/>
  <c r="AC33" i="79"/>
  <c r="V33" i="79"/>
  <c r="AH35" i="79"/>
  <c r="AO35" i="79"/>
  <c r="AQ35" i="79"/>
  <c r="S35" i="79"/>
  <c r="Z35" i="79"/>
  <c r="H40" i="96"/>
  <c r="U40" i="96"/>
  <c r="V40" i="96"/>
  <c r="D38" i="113"/>
  <c r="G38" i="113"/>
  <c r="M42" i="78"/>
  <c r="AI67" i="78"/>
  <c r="AI74" i="78"/>
  <c r="P65" i="78"/>
  <c r="D33" i="79"/>
  <c r="D17" i="79"/>
  <c r="J35" i="79"/>
  <c r="G32" i="79"/>
  <c r="O33" i="79"/>
  <c r="P33" i="79" s="1"/>
  <c r="N35" i="79"/>
  <c r="L26" i="79"/>
  <c r="M26" i="79" s="1"/>
  <c r="K17" i="79"/>
  <c r="K35" i="79"/>
  <c r="V32" i="79"/>
  <c r="S32" i="79"/>
  <c r="AC35" i="79"/>
  <c r="AA35" i="79"/>
  <c r="AB35" i="79" s="1"/>
  <c r="AC26" i="79"/>
  <c r="AA26" i="79"/>
  <c r="AB26" i="79" s="1"/>
  <c r="S33" i="79"/>
  <c r="Y33" i="79"/>
  <c r="Z17" i="79"/>
  <c r="AS35" i="79"/>
  <c r="AT35" i="79" s="1"/>
  <c r="AH17" i="79"/>
  <c r="AH42" i="90"/>
  <c r="P42" i="90"/>
  <c r="AI42" i="90"/>
  <c r="L42" i="90"/>
  <c r="AK42" i="90"/>
  <c r="AN42" i="90"/>
  <c r="AB42" i="90"/>
  <c r="AJ42" i="90"/>
  <c r="O40" i="96"/>
  <c r="U29" i="94"/>
  <c r="N32" i="96"/>
  <c r="H35" i="96"/>
  <c r="Z22" i="99"/>
  <c r="U27" i="94"/>
  <c r="N33" i="94"/>
  <c r="U28" i="96"/>
  <c r="U31" i="96"/>
  <c r="L65" i="78"/>
  <c r="M65" i="78" s="1"/>
  <c r="AO17" i="79"/>
  <c r="AP17" i="79"/>
  <c r="AQ17" i="79" s="1"/>
  <c r="AN17" i="79"/>
  <c r="AT17" i="79"/>
  <c r="Y17" i="79"/>
  <c r="AK26" i="79"/>
  <c r="AH26" i="79"/>
  <c r="AR26" i="79"/>
  <c r="AO26" i="79"/>
  <c r="Z26" i="79"/>
  <c r="AK19" i="79"/>
  <c r="AR19" i="79"/>
  <c r="AH19" i="79"/>
  <c r="AO19" i="79"/>
  <c r="S19" i="79"/>
  <c r="V19" i="79"/>
  <c r="AH32" i="79"/>
  <c r="AS32" i="79"/>
  <c r="AT32" i="79" s="1"/>
  <c r="AN32" i="79"/>
  <c r="AD32" i="79"/>
  <c r="AE32" i="79" s="1"/>
  <c r="Y32" i="79"/>
  <c r="U40" i="94"/>
  <c r="G40" i="94"/>
  <c r="O40" i="94"/>
  <c r="V40" i="94"/>
  <c r="AS22" i="99"/>
  <c r="AT22" i="99" s="1"/>
  <c r="D22" i="99"/>
  <c r="K22" i="99"/>
  <c r="AA22" i="99"/>
  <c r="AB22" i="99" s="1"/>
  <c r="H21" i="118"/>
  <c r="V30" i="118"/>
  <c r="O30" i="118"/>
  <c r="H39" i="118"/>
  <c r="O39" i="118"/>
  <c r="N27" i="72"/>
  <c r="U32" i="72"/>
  <c r="P42" i="78"/>
  <c r="J28" i="78"/>
  <c r="AH42" i="78"/>
  <c r="Y74" i="78"/>
  <c r="AI70" i="78"/>
  <c r="G19" i="79"/>
  <c r="G17" i="79"/>
  <c r="D26" i="79"/>
  <c r="D32" i="79"/>
  <c r="N19" i="79"/>
  <c r="O17" i="79"/>
  <c r="P17" i="79" s="1"/>
  <c r="O26" i="79"/>
  <c r="P26" i="79" s="1"/>
  <c r="N32" i="79"/>
  <c r="L33" i="79"/>
  <c r="M33" i="79" s="1"/>
  <c r="L19" i="79"/>
  <c r="M19" i="79" s="1"/>
  <c r="L32" i="79"/>
  <c r="M32" i="79" s="1"/>
  <c r="AC32" i="79"/>
  <c r="Y35" i="79"/>
  <c r="V35" i="79"/>
  <c r="Z19" i="79"/>
  <c r="AA19" i="79"/>
  <c r="AB19" i="79" s="1"/>
  <c r="S26" i="79"/>
  <c r="AD33" i="79"/>
  <c r="AE33" i="79" s="1"/>
  <c r="Z33" i="79"/>
  <c r="AA17" i="79"/>
  <c r="AB17" i="79" s="1"/>
  <c r="AC17" i="79"/>
  <c r="AK32" i="79"/>
  <c r="AR35" i="79"/>
  <c r="AN19" i="79"/>
  <c r="AP19" i="79"/>
  <c r="AQ19" i="79" s="1"/>
  <c r="AN26" i="79"/>
  <c r="AS33" i="79"/>
  <c r="AT33" i="79" s="1"/>
  <c r="AK17" i="79"/>
  <c r="AN21" i="79"/>
  <c r="AP21" i="79"/>
  <c r="AQ21" i="79" s="1"/>
  <c r="Z21" i="79"/>
  <c r="AR37" i="79"/>
  <c r="AO37" i="79"/>
  <c r="V37" i="79"/>
  <c r="AB37" i="79"/>
  <c r="Y30" i="79"/>
  <c r="AC30" i="79"/>
  <c r="AH23" i="79"/>
  <c r="AR23" i="79"/>
  <c r="AA23" i="79"/>
  <c r="AB23" i="79" s="1"/>
  <c r="AE23" i="79"/>
  <c r="AP39" i="79"/>
  <c r="AQ39" i="79" s="1"/>
  <c r="AS39" i="79"/>
  <c r="AT39" i="79" s="1"/>
  <c r="V39" i="79"/>
  <c r="AC39" i="79"/>
  <c r="AS36" i="79"/>
  <c r="AT36" i="79" s="1"/>
  <c r="AR36" i="79"/>
  <c r="AK36" i="79"/>
  <c r="W23" i="90"/>
  <c r="W59" i="90"/>
  <c r="AI70" i="90"/>
  <c r="G19" i="94"/>
  <c r="AP30" i="99"/>
  <c r="AQ30" i="99" s="1"/>
  <c r="S22" i="99"/>
  <c r="AS33" i="99"/>
  <c r="AT33" i="99" s="1"/>
  <c r="Z33" i="99"/>
  <c r="AH33" i="99"/>
  <c r="D33" i="99"/>
  <c r="J33" i="99"/>
  <c r="N33" i="99"/>
  <c r="AK33" i="99"/>
  <c r="S33" i="99"/>
  <c r="AR33" i="99"/>
  <c r="AP33" i="99"/>
  <c r="AQ33" i="99" s="1"/>
  <c r="AC33" i="99"/>
  <c r="G33" i="99"/>
  <c r="AO33" i="99"/>
  <c r="AN40" i="79"/>
  <c r="AK27" i="79"/>
  <c r="AO18" i="79"/>
  <c r="AH24" i="79"/>
  <c r="X25" i="102"/>
  <c r="Y25" i="102" s="1"/>
  <c r="J24" i="109"/>
  <c r="D24" i="109"/>
  <c r="G24" i="109"/>
  <c r="D34" i="110"/>
  <c r="G38" i="109"/>
  <c r="D38" i="109"/>
  <c r="J38" i="109"/>
  <c r="V27" i="117"/>
  <c r="D25" i="112"/>
  <c r="AL31" i="102"/>
  <c r="AE31" i="102"/>
  <c r="AI22" i="102"/>
  <c r="J38" i="110"/>
  <c r="N55" i="117"/>
  <c r="G55" i="117"/>
  <c r="U55" i="117"/>
  <c r="O87" i="117"/>
  <c r="G96" i="117"/>
  <c r="U80" i="117"/>
  <c r="V80" i="117"/>
  <c r="N80" i="117"/>
  <c r="U89" i="117"/>
  <c r="H89" i="117"/>
  <c r="N89" i="117"/>
  <c r="R3" i="99"/>
  <c r="G50" i="105"/>
  <c r="G44" i="105"/>
  <c r="G38" i="105"/>
  <c r="G32" i="105"/>
  <c r="G26" i="105"/>
  <c r="G20" i="105"/>
  <c r="G14" i="105"/>
  <c r="G7" i="105"/>
  <c r="F52" i="105"/>
  <c r="F46" i="105"/>
  <c r="F40" i="105"/>
  <c r="F34" i="105"/>
  <c r="F28" i="105"/>
  <c r="F22" i="105"/>
  <c r="F16" i="105"/>
  <c r="F10" i="105"/>
  <c r="E52" i="105"/>
  <c r="E46" i="105"/>
  <c r="E40" i="105"/>
  <c r="E34" i="105"/>
  <c r="E28" i="105"/>
  <c r="E22" i="105"/>
  <c r="E16" i="105"/>
  <c r="E10" i="105"/>
  <c r="D55" i="105"/>
  <c r="D49" i="105"/>
  <c r="D43" i="105"/>
  <c r="D37" i="105"/>
  <c r="D31" i="105"/>
  <c r="D25" i="105"/>
  <c r="D19" i="105"/>
  <c r="D13" i="105"/>
  <c r="D5" i="105"/>
  <c r="G56" i="105"/>
  <c r="J3" i="96"/>
  <c r="Q3" i="94"/>
  <c r="G55" i="105"/>
  <c r="G49" i="105"/>
  <c r="G43" i="105"/>
  <c r="G37" i="105"/>
  <c r="G31" i="105"/>
  <c r="G25" i="105"/>
  <c r="G19" i="105"/>
  <c r="G13" i="105"/>
  <c r="F56" i="105"/>
  <c r="F50" i="105"/>
  <c r="F44" i="105"/>
  <c r="F38" i="105"/>
  <c r="F32" i="105"/>
  <c r="F26" i="105"/>
  <c r="F20" i="105"/>
  <c r="F14" i="105"/>
  <c r="E56" i="105"/>
  <c r="E50" i="105"/>
  <c r="E44" i="105"/>
  <c r="E38" i="105"/>
  <c r="E32" i="105"/>
  <c r="E26" i="105"/>
  <c r="E20" i="105"/>
  <c r="E14" i="105"/>
  <c r="E7" i="105"/>
  <c r="D53" i="105"/>
  <c r="D47" i="105"/>
  <c r="D41" i="105"/>
  <c r="D35" i="105"/>
  <c r="D29" i="105"/>
  <c r="D23" i="105"/>
  <c r="D17" i="105"/>
  <c r="G5" i="105"/>
  <c r="D6" i="105"/>
  <c r="G53" i="105"/>
  <c r="G47" i="105"/>
  <c r="G41" i="105"/>
  <c r="G35" i="105"/>
  <c r="G29" i="105"/>
  <c r="G23" i="105"/>
  <c r="G17" i="105"/>
  <c r="F55" i="105"/>
  <c r="F49" i="105"/>
  <c r="F43" i="105"/>
  <c r="F37" i="105"/>
  <c r="F31" i="105"/>
  <c r="F25" i="105"/>
  <c r="F19" i="105"/>
  <c r="F13" i="105"/>
  <c r="E55" i="105"/>
  <c r="E49" i="105"/>
  <c r="E43" i="105"/>
  <c r="E37" i="105"/>
  <c r="E31" i="105"/>
  <c r="E25" i="105"/>
  <c r="E19" i="105"/>
  <c r="E13" i="105"/>
  <c r="E5" i="105"/>
  <c r="D52" i="105"/>
  <c r="D46" i="105"/>
  <c r="D40" i="105"/>
  <c r="D34" i="105"/>
  <c r="D28" i="105"/>
  <c r="D22" i="105"/>
  <c r="D16" i="105"/>
  <c r="D10" i="105"/>
  <c r="F7" i="105"/>
  <c r="F6" i="105"/>
  <c r="Q3" i="33"/>
  <c r="AA3" i="78"/>
  <c r="O3" i="78"/>
  <c r="AM3" i="90"/>
  <c r="B45" i="90"/>
  <c r="O3" i="102"/>
  <c r="AA3" i="102"/>
  <c r="Q3" i="118"/>
  <c r="AO32" i="99" l="1"/>
  <c r="J28" i="112"/>
  <c r="G20" i="112"/>
  <c r="D17" i="107"/>
  <c r="N84" i="117"/>
  <c r="J32" i="99"/>
  <c r="H20" i="117"/>
  <c r="U25" i="117"/>
  <c r="G18" i="113"/>
  <c r="V32" i="99"/>
  <c r="L64" i="78"/>
  <c r="M64" i="78" s="1"/>
  <c r="J31" i="107"/>
  <c r="J37" i="113"/>
  <c r="G19" i="113"/>
  <c r="S32" i="99"/>
  <c r="AK32" i="99"/>
  <c r="AS32" i="99"/>
  <c r="AT32" i="99" s="1"/>
  <c r="K32" i="99"/>
  <c r="D28" i="112"/>
  <c r="AR32" i="99"/>
  <c r="AA32" i="99"/>
  <c r="AB32" i="99" s="1"/>
  <c r="G32" i="99"/>
  <c r="O31" i="72"/>
  <c r="D31" i="107"/>
  <c r="AI34" i="78"/>
  <c r="D37" i="113"/>
  <c r="O18" i="94"/>
  <c r="N40" i="117"/>
  <c r="O58" i="117"/>
  <c r="J20" i="112"/>
  <c r="J17" i="107"/>
  <c r="Z32" i="99"/>
  <c r="L32" i="99"/>
  <c r="M32" i="99" s="1"/>
  <c r="V24" i="117"/>
  <c r="AK74" i="78"/>
  <c r="AB67" i="78"/>
  <c r="K42" i="78"/>
  <c r="J22" i="99"/>
  <c r="AR22" i="99"/>
  <c r="AN42" i="78"/>
  <c r="O54" i="117"/>
  <c r="G22" i="108"/>
  <c r="AB24" i="102"/>
  <c r="AO22" i="99"/>
  <c r="W70" i="90"/>
  <c r="AI51" i="90"/>
  <c r="M74" i="78"/>
  <c r="D67" i="78"/>
  <c r="Y22" i="99"/>
  <c r="L22" i="99"/>
  <c r="M22" i="99" s="1"/>
  <c r="AH22" i="99"/>
  <c r="AC22" i="99"/>
  <c r="D42" i="78"/>
  <c r="V35" i="96"/>
  <c r="G32" i="96"/>
  <c r="H29" i="94"/>
  <c r="L74" i="78"/>
  <c r="X42" i="78"/>
  <c r="G19" i="102"/>
  <c r="AJ19" i="102"/>
  <c r="AK19" i="102" s="1"/>
  <c r="L57" i="78"/>
  <c r="M57" i="78" s="1"/>
  <c r="AK57" i="78"/>
  <c r="AJ32" i="78"/>
  <c r="AK32" i="78" s="1"/>
  <c r="V22" i="99"/>
  <c r="AN22" i="99"/>
  <c r="H32" i="96"/>
  <c r="X57" i="78"/>
  <c r="Y57" i="78" s="1"/>
  <c r="L67" i="78"/>
  <c r="M67" i="78" s="1"/>
  <c r="V42" i="78"/>
  <c r="G36" i="117"/>
  <c r="G23" i="110"/>
  <c r="AI23" i="90"/>
  <c r="W74" i="78"/>
  <c r="W67" i="78"/>
  <c r="Y42" i="78"/>
  <c r="J39" i="112"/>
  <c r="O22" i="99"/>
  <c r="P22" i="99" s="1"/>
  <c r="N22" i="99"/>
  <c r="AP22" i="99"/>
  <c r="AQ22" i="99" s="1"/>
  <c r="G21" i="96"/>
  <c r="AK42" i="78"/>
  <c r="O35" i="96"/>
  <c r="U32" i="96"/>
  <c r="G29" i="94"/>
  <c r="X74" i="78"/>
  <c r="X67" i="78"/>
  <c r="Y67" i="78" s="1"/>
  <c r="AE42" i="78"/>
  <c r="G42" i="78"/>
  <c r="J20" i="89"/>
  <c r="W19" i="102"/>
  <c r="AH19" i="102"/>
  <c r="S57" i="78"/>
  <c r="K57" i="78"/>
  <c r="G35" i="96"/>
  <c r="J74" i="78"/>
  <c r="AH57" i="78"/>
  <c r="G57" i="78"/>
  <c r="AH67" i="78"/>
  <c r="G31" i="110"/>
  <c r="N49" i="117"/>
  <c r="G36" i="114"/>
  <c r="AJ24" i="102"/>
  <c r="AK24" i="102" s="1"/>
  <c r="W51" i="90"/>
  <c r="AK22" i="99"/>
  <c r="AD22" i="99"/>
  <c r="AE22" i="99" s="1"/>
  <c r="G32" i="89"/>
  <c r="N35" i="96"/>
  <c r="O32" i="96"/>
  <c r="N29" i="94"/>
  <c r="K35" i="90"/>
  <c r="AE74" i="78"/>
  <c r="AE67" i="78"/>
  <c r="AI42" i="78"/>
  <c r="J42" i="78"/>
  <c r="W42" i="78"/>
  <c r="S19" i="102"/>
  <c r="X19" i="102"/>
  <c r="Y19" i="102" s="1"/>
  <c r="AE57" i="78"/>
  <c r="W57" i="78"/>
  <c r="G40" i="89"/>
  <c r="D40" i="89"/>
  <c r="J67" i="78"/>
  <c r="L42" i="78"/>
  <c r="D57" i="78"/>
  <c r="AJ67" i="78"/>
  <c r="AK67" i="78" s="1"/>
  <c r="O96" i="117"/>
  <c r="V100" i="117"/>
  <c r="L25" i="99"/>
  <c r="M25" i="99" s="1"/>
  <c r="AD30" i="99"/>
  <c r="AE30" i="99" s="1"/>
  <c r="H87" i="117"/>
  <c r="V61" i="117"/>
  <c r="N21" i="117"/>
  <c r="J17" i="114"/>
  <c r="D34" i="102"/>
  <c r="N25" i="99"/>
  <c r="N30" i="96"/>
  <c r="H96" i="117"/>
  <c r="D33" i="114"/>
  <c r="J23" i="107"/>
  <c r="O49" i="117"/>
  <c r="U27" i="117"/>
  <c r="AL34" i="102"/>
  <c r="AH18" i="101"/>
  <c r="O25" i="99"/>
  <c r="P25" i="99" s="1"/>
  <c r="V33" i="94"/>
  <c r="N35" i="72"/>
  <c r="H33" i="94"/>
  <c r="G27" i="94"/>
  <c r="D30" i="99"/>
  <c r="U19" i="94"/>
  <c r="H18" i="94"/>
  <c r="G22" i="96"/>
  <c r="K65" i="90"/>
  <c r="AH59" i="78"/>
  <c r="J29" i="78"/>
  <c r="X59" i="78"/>
  <c r="Y59" i="78" s="1"/>
  <c r="AE29" i="78"/>
  <c r="W34" i="78"/>
  <c r="P29" i="78"/>
  <c r="L59" i="78"/>
  <c r="M59" i="78" s="1"/>
  <c r="AN34" i="78"/>
  <c r="AJ29" i="78"/>
  <c r="AK29" i="78" s="1"/>
  <c r="K34" i="78"/>
  <c r="D34" i="78"/>
  <c r="K27" i="90"/>
  <c r="K59" i="78"/>
  <c r="AR18" i="101"/>
  <c r="N28" i="96"/>
  <c r="H27" i="94"/>
  <c r="G28" i="96"/>
  <c r="G16" i="72"/>
  <c r="AC30" i="99"/>
  <c r="N37" i="96"/>
  <c r="W17" i="102"/>
  <c r="AN25" i="99"/>
  <c r="K55" i="90"/>
  <c r="X29" i="78"/>
  <c r="Y29" i="78" s="1"/>
  <c r="V59" i="78"/>
  <c r="AB34" i="78"/>
  <c r="P34" i="78"/>
  <c r="W59" i="78"/>
  <c r="AE34" i="78"/>
  <c r="D29" i="78"/>
  <c r="G59" i="78"/>
  <c r="G18" i="94"/>
  <c r="H27" i="117"/>
  <c r="G26" i="113"/>
  <c r="G18" i="101"/>
  <c r="O27" i="94"/>
  <c r="O16" i="72"/>
  <c r="V27" i="94"/>
  <c r="G17" i="94"/>
  <c r="N30" i="99"/>
  <c r="V22" i="96"/>
  <c r="D59" i="78"/>
  <c r="K29" i="78"/>
  <c r="AN29" i="78"/>
  <c r="AI59" i="78"/>
  <c r="W29" i="78"/>
  <c r="L29" i="78"/>
  <c r="M29" i="78" s="1"/>
  <c r="J34" i="78"/>
  <c r="S23" i="78"/>
  <c r="N20" i="72"/>
  <c r="G20" i="72"/>
  <c r="J29" i="113"/>
  <c r="D29" i="113"/>
  <c r="J37" i="110"/>
  <c r="D37" i="110"/>
  <c r="G31" i="113"/>
  <c r="D31" i="113"/>
  <c r="J20" i="113"/>
  <c r="G20" i="113"/>
  <c r="D20" i="113"/>
  <c r="J16" i="109"/>
  <c r="G16" i="109"/>
  <c r="J37" i="107"/>
  <c r="G37" i="107"/>
  <c r="G20" i="107"/>
  <c r="J20" i="107"/>
  <c r="D20" i="107"/>
  <c r="J21" i="112"/>
  <c r="D23" i="110"/>
  <c r="J20" i="114"/>
  <c r="J20" i="109"/>
  <c r="D22" i="108"/>
  <c r="J31" i="113"/>
  <c r="G21" i="112"/>
  <c r="D31" i="110"/>
  <c r="D20" i="114"/>
  <c r="G20" i="109"/>
  <c r="U21" i="96"/>
  <c r="G21" i="107"/>
  <c r="J26" i="110"/>
  <c r="J32" i="109"/>
  <c r="G20" i="89"/>
  <c r="D39" i="112"/>
  <c r="J32" i="89"/>
  <c r="O37" i="96"/>
  <c r="K25" i="90"/>
  <c r="H37" i="96"/>
  <c r="J35" i="107"/>
  <c r="G37" i="110"/>
  <c r="D16" i="109"/>
  <c r="AM25" i="102"/>
  <c r="AN25" i="102" s="1"/>
  <c r="K25" i="102"/>
  <c r="H21" i="96"/>
  <c r="O21" i="96"/>
  <c r="G16" i="113"/>
  <c r="D16" i="113"/>
  <c r="D31" i="112"/>
  <c r="J31" i="112"/>
  <c r="G31" i="112"/>
  <c r="J26" i="108"/>
  <c r="G26" i="108"/>
  <c r="D31" i="114"/>
  <c r="J31" i="114"/>
  <c r="J37" i="108"/>
  <c r="G37" i="108"/>
  <c r="D37" i="108"/>
  <c r="N100" i="117"/>
  <c r="H100" i="117"/>
  <c r="AB37" i="102"/>
  <c r="X37" i="102"/>
  <c r="Y37" i="102" s="1"/>
  <c r="AH37" i="102"/>
  <c r="P34" i="102"/>
  <c r="AB34" i="102"/>
  <c r="U26" i="96"/>
  <c r="N26" i="96"/>
  <c r="V26" i="96"/>
  <c r="O30" i="94"/>
  <c r="U30" i="94"/>
  <c r="N21" i="94"/>
  <c r="O21" i="94"/>
  <c r="U21" i="94"/>
  <c r="G87" i="117"/>
  <c r="V87" i="117"/>
  <c r="N87" i="117"/>
  <c r="AE40" i="102"/>
  <c r="AB40" i="102"/>
  <c r="P40" i="102"/>
  <c r="X40" i="102"/>
  <c r="G40" i="102"/>
  <c r="L38" i="101"/>
  <c r="V38" i="101"/>
  <c r="AD38" i="101"/>
  <c r="AC38" i="101"/>
  <c r="AA38" i="101"/>
  <c r="N38" i="101"/>
  <c r="V28" i="96"/>
  <c r="H28" i="96"/>
  <c r="H19" i="94"/>
  <c r="V19" i="94"/>
  <c r="N19" i="94"/>
  <c r="K72" i="90"/>
  <c r="W72" i="90"/>
  <c r="W53" i="90"/>
  <c r="AI53" i="90"/>
  <c r="K53" i="90"/>
  <c r="AH56" i="78"/>
  <c r="V56" i="78"/>
  <c r="AI31" i="78"/>
  <c r="D31" i="78"/>
  <c r="AJ25" i="78"/>
  <c r="AH25" i="78"/>
  <c r="AJ20" i="102"/>
  <c r="AK20" i="102" s="1"/>
  <c r="V20" i="102"/>
  <c r="O30" i="99"/>
  <c r="P30" i="99" s="1"/>
  <c r="G30" i="99"/>
  <c r="Z30" i="99"/>
  <c r="AH30" i="99"/>
  <c r="AA30" i="99"/>
  <c r="AB30" i="99" s="1"/>
  <c r="K30" i="99"/>
  <c r="J30" i="99"/>
  <c r="K69" i="90"/>
  <c r="W69" i="90"/>
  <c r="K37" i="90"/>
  <c r="AI37" i="90"/>
  <c r="K28" i="78"/>
  <c r="X28" i="78"/>
  <c r="Y28" i="78" s="1"/>
  <c r="J70" i="78"/>
  <c r="G70" i="78"/>
  <c r="G27" i="72"/>
  <c r="V27" i="72"/>
  <c r="H27" i="72"/>
  <c r="O27" i="72"/>
  <c r="U27" i="72"/>
  <c r="O32" i="72"/>
  <c r="H32" i="72"/>
  <c r="N32" i="72"/>
  <c r="G32" i="72"/>
  <c r="X22" i="102"/>
  <c r="D22" i="102"/>
  <c r="U20" i="90"/>
  <c r="V20" i="90" s="1"/>
  <c r="K20" i="90"/>
  <c r="K67" i="90"/>
  <c r="AI67" i="90"/>
  <c r="W67" i="90"/>
  <c r="O33" i="99"/>
  <c r="P33" i="99" s="1"/>
  <c r="AA33" i="99"/>
  <c r="AB33" i="99" s="1"/>
  <c r="AD33" i="99"/>
  <c r="AE33" i="99" s="1"/>
  <c r="AN33" i="99"/>
  <c r="K33" i="99"/>
  <c r="V33" i="99"/>
  <c r="H80" i="117"/>
  <c r="O80" i="117"/>
  <c r="O29" i="99"/>
  <c r="P29" i="99" s="1"/>
  <c r="K29" i="99"/>
  <c r="AP29" i="99"/>
  <c r="AQ29" i="99" s="1"/>
  <c r="D29" i="99"/>
  <c r="AH29" i="99"/>
  <c r="N29" i="99"/>
  <c r="AO29" i="99"/>
  <c r="Z29" i="99"/>
  <c r="J29" i="99"/>
  <c r="V29" i="99"/>
  <c r="Y29" i="99"/>
  <c r="AC29" i="99"/>
  <c r="S29" i="99"/>
  <c r="AD29" i="99"/>
  <c r="AE29" i="99" s="1"/>
  <c r="AN29" i="99"/>
  <c r="O31" i="99"/>
  <c r="P31" i="99" s="1"/>
  <c r="K31" i="99"/>
  <c r="AA31" i="99"/>
  <c r="AB31" i="99" s="1"/>
  <c r="V31" i="99"/>
  <c r="L31" i="99"/>
  <c r="M31" i="99" s="1"/>
  <c r="G31" i="99"/>
  <c r="AP31" i="99"/>
  <c r="AQ31" i="99" s="1"/>
  <c r="AC31" i="99"/>
  <c r="AD31" i="99"/>
  <c r="AE31" i="99" s="1"/>
  <c r="AR31" i="99"/>
  <c r="AS31" i="99"/>
  <c r="AT31" i="99" s="1"/>
  <c r="AO31" i="99"/>
  <c r="D31" i="99"/>
  <c r="AH31" i="99"/>
  <c r="N31" i="99"/>
  <c r="AN31" i="99"/>
  <c r="L24" i="101"/>
  <c r="M24" i="101" s="1"/>
  <c r="S24" i="101"/>
  <c r="AP24" i="101"/>
  <c r="AQ24" i="101" s="1"/>
  <c r="AR24" i="101"/>
  <c r="AC24" i="101"/>
  <c r="J24" i="101"/>
  <c r="AN24" i="101"/>
  <c r="AD24" i="101"/>
  <c r="AE24" i="101" s="1"/>
  <c r="AS24" i="101"/>
  <c r="AT24" i="101" s="1"/>
  <c r="D24" i="101"/>
  <c r="Z24" i="101"/>
  <c r="AK24" i="101"/>
  <c r="N24" i="101"/>
  <c r="K24" i="101"/>
  <c r="AO24" i="101"/>
  <c r="Y24" i="101"/>
  <c r="V23" i="96"/>
  <c r="U23" i="96"/>
  <c r="N23" i="96"/>
  <c r="V31" i="72"/>
  <c r="H31" i="72"/>
  <c r="N31" i="72"/>
  <c r="U31" i="72"/>
  <c r="Y32" i="99"/>
  <c r="AH32" i="99"/>
  <c r="N32" i="99"/>
  <c r="AN32" i="99"/>
  <c r="AD32" i="99"/>
  <c r="AE32" i="99" s="1"/>
  <c r="O32" i="99"/>
  <c r="P32" i="99" s="1"/>
  <c r="AP32" i="99"/>
  <c r="AQ32" i="99" s="1"/>
  <c r="D32" i="99"/>
  <c r="D24" i="78"/>
  <c r="S24" i="78"/>
  <c r="D39" i="89"/>
  <c r="J39" i="89"/>
  <c r="D24" i="114"/>
  <c r="J24" i="114"/>
  <c r="D21" i="108"/>
  <c r="G21" i="108"/>
  <c r="J25" i="112"/>
  <c r="J21" i="107"/>
  <c r="D36" i="114"/>
  <c r="J19" i="107"/>
  <c r="AI24" i="78"/>
  <c r="D26" i="110"/>
  <c r="D32" i="109"/>
  <c r="G19" i="107"/>
  <c r="G39" i="89"/>
  <c r="N21" i="96"/>
  <c r="G35" i="107"/>
  <c r="K37" i="102"/>
  <c r="H21" i="94"/>
  <c r="AJ56" i="78"/>
  <c r="AK56" i="78" s="1"/>
  <c r="S38" i="101"/>
  <c r="AM19" i="102"/>
  <c r="AN19" i="102" s="1"/>
  <c r="W32" i="102"/>
  <c r="AB26" i="78"/>
  <c r="G33" i="78"/>
  <c r="AE69" i="78"/>
  <c r="AH69" i="78"/>
  <c r="D26" i="78"/>
  <c r="J35" i="102"/>
  <c r="AI39" i="78"/>
  <c r="G21" i="113"/>
  <c r="G32" i="114"/>
  <c r="D26" i="107"/>
  <c r="N25" i="96"/>
  <c r="D17" i="109"/>
  <c r="G21" i="72"/>
  <c r="J39" i="109"/>
  <c r="J30" i="107"/>
  <c r="D36" i="112"/>
  <c r="D33" i="107"/>
  <c r="H21" i="72"/>
  <c r="G19" i="96"/>
  <c r="N21" i="72"/>
  <c r="U21" i="72"/>
  <c r="AL26" i="102"/>
  <c r="G69" i="78"/>
  <c r="AI53" i="78"/>
  <c r="X23" i="78"/>
  <c r="J25" i="114"/>
  <c r="J19" i="108"/>
  <c r="D32" i="114"/>
  <c r="AE27" i="102"/>
  <c r="W35" i="102"/>
  <c r="V67" i="117"/>
  <c r="AB69" i="78"/>
  <c r="W23" i="78"/>
  <c r="G31" i="108"/>
  <c r="P27" i="102"/>
  <c r="H27" i="118"/>
  <c r="AE35" i="102"/>
  <c r="J31" i="109"/>
  <c r="G37" i="72"/>
  <c r="H20" i="94"/>
  <c r="AJ72" i="78"/>
  <c r="AE39" i="78"/>
  <c r="V25" i="96"/>
  <c r="S35" i="102"/>
  <c r="D17" i="114"/>
  <c r="G25" i="113"/>
  <c r="G17" i="110"/>
  <c r="G36" i="107"/>
  <c r="AB41" i="78"/>
  <c r="L41" i="78"/>
  <c r="D39" i="108"/>
  <c r="G21" i="114"/>
  <c r="D26" i="113"/>
  <c r="G37" i="89"/>
  <c r="D35" i="114"/>
  <c r="G33" i="108"/>
  <c r="D36" i="107"/>
  <c r="D35" i="89"/>
  <c r="P38" i="78"/>
  <c r="J29" i="109"/>
  <c r="N65" i="117"/>
  <c r="D37" i="112"/>
  <c r="G25" i="109"/>
  <c r="V91" i="117"/>
  <c r="J24" i="112"/>
  <c r="L69" i="78"/>
  <c r="M69" i="78" s="1"/>
  <c r="D29" i="89"/>
  <c r="D39" i="78"/>
  <c r="AI35" i="102"/>
  <c r="AH35" i="102"/>
  <c r="AM26" i="102"/>
  <c r="AN26" i="102" s="1"/>
  <c r="AS26" i="99"/>
  <c r="AT26" i="99" s="1"/>
  <c r="P29" i="102"/>
  <c r="D19" i="112"/>
  <c r="D23" i="114"/>
  <c r="D17" i="108"/>
  <c r="D22" i="107"/>
  <c r="AE55" i="78"/>
  <c r="AN26" i="78"/>
  <c r="H19" i="96"/>
  <c r="P53" i="78"/>
  <c r="O26" i="72"/>
  <c r="W33" i="78"/>
  <c r="AI69" i="78"/>
  <c r="K23" i="78"/>
  <c r="AB53" i="78"/>
  <c r="O21" i="72"/>
  <c r="G26" i="89"/>
  <c r="AI26" i="102"/>
  <c r="L23" i="78"/>
  <c r="M23" i="78" s="1"/>
  <c r="D33" i="113"/>
  <c r="W29" i="102"/>
  <c r="D19" i="110"/>
  <c r="J35" i="110"/>
  <c r="H98" i="117"/>
  <c r="D16" i="112"/>
  <c r="J36" i="112"/>
  <c r="G28" i="114"/>
  <c r="AM32" i="102"/>
  <c r="AN32" i="102" s="1"/>
  <c r="J24" i="99"/>
  <c r="J21" i="89"/>
  <c r="X39" i="78"/>
  <c r="Y39" i="78" s="1"/>
  <c r="U25" i="96"/>
  <c r="J39" i="78"/>
  <c r="P39" i="78"/>
  <c r="V23" i="117"/>
  <c r="G31" i="94"/>
  <c r="G25" i="114"/>
  <c r="J19" i="110"/>
  <c r="J17" i="109"/>
  <c r="D31" i="108"/>
  <c r="O91" i="117"/>
  <c r="U65" i="117"/>
  <c r="G24" i="112"/>
  <c r="S27" i="102"/>
  <c r="G21" i="89"/>
  <c r="AN39" i="78"/>
  <c r="O19" i="96"/>
  <c r="O25" i="96"/>
  <c r="AN69" i="78"/>
  <c r="W39" i="78"/>
  <c r="AL35" i="102"/>
  <c r="X29" i="102"/>
  <c r="Y29" i="102" s="1"/>
  <c r="G19" i="112"/>
  <c r="J23" i="114"/>
  <c r="G31" i="109"/>
  <c r="J22" i="107"/>
  <c r="K29" i="102"/>
  <c r="U19" i="96"/>
  <c r="AB39" i="78"/>
  <c r="Y23" i="78"/>
  <c r="P26" i="78"/>
  <c r="V26" i="72"/>
  <c r="V39" i="102"/>
  <c r="AE53" i="78"/>
  <c r="K53" i="78"/>
  <c r="L32" i="101"/>
  <c r="K35" i="102"/>
  <c r="V69" i="78"/>
  <c r="J23" i="78"/>
  <c r="U102" i="117"/>
  <c r="G37" i="112"/>
  <c r="D35" i="110"/>
  <c r="J25" i="109"/>
  <c r="G19" i="108"/>
  <c r="G30" i="107"/>
  <c r="V98" i="117"/>
  <c r="G16" i="112"/>
  <c r="J28" i="114"/>
  <c r="G26" i="107"/>
  <c r="J33" i="107"/>
  <c r="K39" i="78"/>
  <c r="V33" i="78"/>
  <c r="O18" i="118"/>
  <c r="N19" i="96"/>
  <c r="V39" i="78"/>
  <c r="J69" i="78"/>
  <c r="AE26" i="78"/>
  <c r="AE33" i="78"/>
  <c r="G29" i="89"/>
  <c r="G35" i="102"/>
  <c r="AM35" i="102"/>
  <c r="AN35" i="102" s="1"/>
  <c r="D21" i="113"/>
  <c r="J17" i="108"/>
  <c r="S19" i="78"/>
  <c r="D39" i="110"/>
  <c r="D39" i="109"/>
  <c r="S53" i="78"/>
  <c r="P23" i="78"/>
  <c r="D26" i="89"/>
  <c r="AH53" i="78"/>
  <c r="H25" i="96"/>
  <c r="D23" i="78"/>
  <c r="AG11" i="79"/>
  <c r="J25" i="107"/>
  <c r="D25" i="107"/>
  <c r="D19" i="113"/>
  <c r="U24" i="117"/>
  <c r="D24" i="113"/>
  <c r="J24" i="113"/>
  <c r="M41" i="78"/>
  <c r="V41" i="78"/>
  <c r="AE38" i="78"/>
  <c r="AN38" i="78"/>
  <c r="L38" i="78"/>
  <c r="M38" i="78" s="1"/>
  <c r="AJ38" i="78"/>
  <c r="AK38" i="78" s="1"/>
  <c r="G19" i="109"/>
  <c r="J19" i="109"/>
  <c r="N30" i="117"/>
  <c r="U66" i="117"/>
  <c r="V94" i="117"/>
  <c r="V30" i="117"/>
  <c r="U40" i="117"/>
  <c r="U84" i="117"/>
  <c r="H58" i="117"/>
  <c r="G24" i="117"/>
  <c r="L33" i="102"/>
  <c r="M33" i="102" s="1"/>
  <c r="N19" i="117"/>
  <c r="O19" i="117"/>
  <c r="J39" i="102"/>
  <c r="AJ39" i="102"/>
  <c r="AK39" i="102" s="1"/>
  <c r="G27" i="96"/>
  <c r="N27" i="96"/>
  <c r="AI27" i="102"/>
  <c r="AL27" i="102"/>
  <c r="AB27" i="102"/>
  <c r="AH26" i="102"/>
  <c r="P26" i="102"/>
  <c r="AJ26" i="102"/>
  <c r="AK26" i="102" s="1"/>
  <c r="L24" i="99"/>
  <c r="Y24" i="99"/>
  <c r="AI39" i="90"/>
  <c r="G17" i="89"/>
  <c r="J17" i="89"/>
  <c r="W69" i="78"/>
  <c r="D69" i="78"/>
  <c r="AJ69" i="78"/>
  <c r="AK69" i="78" s="1"/>
  <c r="X69" i="78"/>
  <c r="Y69" i="78" s="1"/>
  <c r="H23" i="72"/>
  <c r="U23" i="72"/>
  <c r="V23" i="72"/>
  <c r="AM33" i="90"/>
  <c r="AN33" i="90" s="1"/>
  <c r="W33" i="90"/>
  <c r="K33" i="90"/>
  <c r="H37" i="72"/>
  <c r="V37" i="72"/>
  <c r="O37" i="72"/>
  <c r="N37" i="72"/>
  <c r="P35" i="102"/>
  <c r="L35" i="102"/>
  <c r="M35" i="102" s="1"/>
  <c r="AB35" i="102"/>
  <c r="V35" i="102"/>
  <c r="L53" i="78"/>
  <c r="M53" i="78" s="1"/>
  <c r="J53" i="78"/>
  <c r="W53" i="78"/>
  <c r="AJ53" i="78"/>
  <c r="AK53" i="78" s="1"/>
  <c r="X53" i="78"/>
  <c r="Y53" i="78" s="1"/>
  <c r="D18" i="110"/>
  <c r="G18" i="110"/>
  <c r="AH23" i="78"/>
  <c r="V23" i="78"/>
  <c r="AE23" i="78"/>
  <c r="AN23" i="78"/>
  <c r="D39" i="114"/>
  <c r="G39" i="114"/>
  <c r="J30" i="110"/>
  <c r="G30" i="110"/>
  <c r="D36" i="109"/>
  <c r="J36" i="109"/>
  <c r="S39" i="78"/>
  <c r="AJ39" i="78"/>
  <c r="AK39" i="78" s="1"/>
  <c r="L39" i="78"/>
  <c r="M39" i="78" s="1"/>
  <c r="AH39" i="78"/>
  <c r="O94" i="117"/>
  <c r="V84" i="117"/>
  <c r="N58" i="117"/>
  <c r="G25" i="117"/>
  <c r="O20" i="117"/>
  <c r="N25" i="117"/>
  <c r="N94" i="117"/>
  <c r="D34" i="112"/>
  <c r="J36" i="110"/>
  <c r="G36" i="110"/>
  <c r="AL21" i="102"/>
  <c r="W21" i="102"/>
  <c r="O40" i="101"/>
  <c r="AH40" i="101"/>
  <c r="K40" i="101"/>
  <c r="AA28" i="101"/>
  <c r="AB28" i="101" s="1"/>
  <c r="AH28" i="101"/>
  <c r="G24" i="96"/>
  <c r="V24" i="96"/>
  <c r="X32" i="102"/>
  <c r="Y32" i="102" s="1"/>
  <c r="AB32" i="102"/>
  <c r="L32" i="102"/>
  <c r="M32" i="102" s="1"/>
  <c r="D72" i="78"/>
  <c r="J72" i="78"/>
  <c r="AB29" i="102"/>
  <c r="AI29" i="102"/>
  <c r="O23" i="117"/>
  <c r="AH29" i="102"/>
  <c r="H24" i="117"/>
  <c r="D32" i="102"/>
  <c r="G84" i="117"/>
  <c r="G58" i="117"/>
  <c r="U58" i="117"/>
  <c r="G65" i="117"/>
  <c r="N24" i="117"/>
  <c r="H25" i="117"/>
  <c r="V25" i="117"/>
  <c r="J27" i="102"/>
  <c r="AJ32" i="102"/>
  <c r="AK32" i="102" s="1"/>
  <c r="AI26" i="78"/>
  <c r="S26" i="78"/>
  <c r="V103" i="117"/>
  <c r="H102" i="117"/>
  <c r="D21" i="102"/>
  <c r="D26" i="102"/>
  <c r="K33" i="101"/>
  <c r="H26" i="117"/>
  <c r="G28" i="110"/>
  <c r="S55" i="78"/>
  <c r="G39" i="110"/>
  <c r="K69" i="78"/>
  <c r="AI23" i="78"/>
  <c r="H24" i="96"/>
  <c r="N23" i="72"/>
  <c r="P69" i="78"/>
  <c r="AJ23" i="78"/>
  <c r="AK23" i="78" s="1"/>
  <c r="G53" i="78"/>
  <c r="D53" i="78"/>
  <c r="G23" i="72"/>
  <c r="K39" i="90"/>
  <c r="N31" i="94"/>
  <c r="D35" i="102"/>
  <c r="X35" i="102"/>
  <c r="Y35" i="102" s="1"/>
  <c r="AB23" i="78"/>
  <c r="AJ74" i="78"/>
  <c r="AI19" i="102"/>
  <c r="D74" i="78"/>
  <c r="P57" i="78"/>
  <c r="AN67" i="78"/>
  <c r="S42" i="78"/>
  <c r="AI57" i="78"/>
  <c r="V67" i="78"/>
  <c r="X38" i="102"/>
  <c r="AB38" i="102"/>
  <c r="AE22" i="78"/>
  <c r="K22" i="78"/>
  <c r="V31" i="117"/>
  <c r="G31" i="117"/>
  <c r="V34" i="101"/>
  <c r="G34" i="101"/>
  <c r="AN30" i="78"/>
  <c r="K30" i="78"/>
  <c r="J27" i="112"/>
  <c r="G27" i="112"/>
  <c r="D35" i="112"/>
  <c r="G35" i="112"/>
  <c r="H93" i="117"/>
  <c r="N93" i="117"/>
  <c r="AB23" i="102"/>
  <c r="L23" i="102"/>
  <c r="M23" i="102" s="1"/>
  <c r="AR22" i="101"/>
  <c r="Y22" i="101"/>
  <c r="N22" i="101"/>
  <c r="AO19" i="99"/>
  <c r="AR19" i="99"/>
  <c r="K38" i="102"/>
  <c r="K18" i="102"/>
  <c r="O65" i="117"/>
  <c r="W27" i="102"/>
  <c r="G32" i="102"/>
  <c r="AE32" i="102"/>
  <c r="O36" i="96"/>
  <c r="D63" i="78"/>
  <c r="X26" i="78"/>
  <c r="Y26" i="78" s="1"/>
  <c r="V18" i="118"/>
  <c r="K33" i="78"/>
  <c r="W71" i="90"/>
  <c r="S33" i="78"/>
  <c r="V27" i="118"/>
  <c r="W26" i="102"/>
  <c r="K26" i="102"/>
  <c r="N101" i="117"/>
  <c r="V31" i="94"/>
  <c r="V29" i="96"/>
  <c r="U37" i="94"/>
  <c r="W19" i="78"/>
  <c r="AN19" i="78"/>
  <c r="AB72" i="78"/>
  <c r="W26" i="78"/>
  <c r="AP37" i="99"/>
  <c r="AQ37" i="99" s="1"/>
  <c r="J40" i="101"/>
  <c r="G29" i="102"/>
  <c r="W36" i="90"/>
  <c r="AJ26" i="78"/>
  <c r="AK26" i="78" s="1"/>
  <c r="D33" i="89"/>
  <c r="H27" i="96"/>
  <c r="S63" i="78"/>
  <c r="U26" i="72"/>
  <c r="Y23" i="101"/>
  <c r="J23" i="101"/>
  <c r="R57" i="90"/>
  <c r="S57" i="90" s="1"/>
  <c r="AE29" i="102"/>
  <c r="N26" i="99"/>
  <c r="J27" i="113"/>
  <c r="U98" i="117"/>
  <c r="G91" i="117"/>
  <c r="U18" i="117"/>
  <c r="K27" i="102"/>
  <c r="G27" i="102"/>
  <c r="J32" i="102"/>
  <c r="AH24" i="99"/>
  <c r="AA21" i="99"/>
  <c r="AB21" i="99" s="1"/>
  <c r="V63" i="78"/>
  <c r="K26" i="78"/>
  <c r="Z28" i="101"/>
  <c r="G33" i="117"/>
  <c r="S29" i="102"/>
  <c r="AL29" i="102"/>
  <c r="J33" i="113"/>
  <c r="V29" i="102"/>
  <c r="P32" i="102"/>
  <c r="O98" i="117"/>
  <c r="U91" i="117"/>
  <c r="X27" i="102"/>
  <c r="Y27" i="102" s="1"/>
  <c r="V27" i="102"/>
  <c r="L27" i="102"/>
  <c r="M27" i="102" s="1"/>
  <c r="V32" i="102"/>
  <c r="AL32" i="102"/>
  <c r="AH32" i="102"/>
  <c r="AA24" i="99"/>
  <c r="AB24" i="99" s="1"/>
  <c r="X33" i="78"/>
  <c r="Y33" i="78" s="1"/>
  <c r="G26" i="78"/>
  <c r="Y21" i="99"/>
  <c r="AN33" i="78"/>
  <c r="K71" i="90"/>
  <c r="AI28" i="90"/>
  <c r="L26" i="78"/>
  <c r="M26" i="78" s="1"/>
  <c r="G39" i="102"/>
  <c r="X26" i="102"/>
  <c r="Y26" i="102" s="1"/>
  <c r="L26" i="102"/>
  <c r="M26" i="102" s="1"/>
  <c r="L29" i="102"/>
  <c r="M29" i="102" s="1"/>
  <c r="H52" i="117"/>
  <c r="D36" i="110"/>
  <c r="AJ29" i="102"/>
  <c r="AK29" i="102" s="1"/>
  <c r="D29" i="102"/>
  <c r="L55" i="78"/>
  <c r="M55" i="78" s="1"/>
  <c r="AC37" i="99"/>
  <c r="AH28" i="99"/>
  <c r="X39" i="102"/>
  <c r="Y39" i="102" s="1"/>
  <c r="J29" i="102"/>
  <c r="AH55" i="78"/>
  <c r="H26" i="72"/>
  <c r="N26" i="72"/>
  <c r="U24" i="96"/>
  <c r="K21" i="102"/>
  <c r="H29" i="117"/>
  <c r="V19" i="72"/>
  <c r="X22" i="78"/>
  <c r="Y22" i="78" s="1"/>
  <c r="AI30" i="78"/>
  <c r="AB36" i="102"/>
  <c r="D37" i="109"/>
  <c r="X30" i="78"/>
  <c r="Y30" i="78" s="1"/>
  <c r="J30" i="78"/>
  <c r="G22" i="78"/>
  <c r="AE51" i="78"/>
  <c r="V23" i="118"/>
  <c r="AE38" i="102"/>
  <c r="K60" i="78"/>
  <c r="S36" i="102"/>
  <c r="J23" i="108"/>
  <c r="H18" i="117"/>
  <c r="D68" i="78"/>
  <c r="L40" i="78"/>
  <c r="M40" i="78" s="1"/>
  <c r="AE28" i="102"/>
  <c r="V41" i="117"/>
  <c r="J21" i="109"/>
  <c r="O18" i="117"/>
  <c r="K40" i="78"/>
  <c r="AE64" i="78"/>
  <c r="AI22" i="78"/>
  <c r="U28" i="94"/>
  <c r="AH64" i="78"/>
  <c r="AE30" i="78"/>
  <c r="AI40" i="78"/>
  <c r="D22" i="78"/>
  <c r="V30" i="78"/>
  <c r="V33" i="96"/>
  <c r="D36" i="113"/>
  <c r="G27" i="113"/>
  <c r="D28" i="107"/>
  <c r="J51" i="78"/>
  <c r="P30" i="78"/>
  <c r="J64" i="78"/>
  <c r="G37" i="101"/>
  <c r="AJ38" i="102"/>
  <c r="AK38" i="102" s="1"/>
  <c r="P66" i="78"/>
  <c r="AH51" i="78"/>
  <c r="AH68" i="78"/>
  <c r="V36" i="102"/>
  <c r="L38" i="102"/>
  <c r="M38" i="102" s="1"/>
  <c r="D17" i="112"/>
  <c r="D27" i="110"/>
  <c r="G29" i="109"/>
  <c r="G35" i="108"/>
  <c r="J41" i="78"/>
  <c r="P68" i="78"/>
  <c r="H72" i="117"/>
  <c r="V56" i="117"/>
  <c r="N39" i="117"/>
  <c r="AM36" i="102"/>
  <c r="AN36" i="102" s="1"/>
  <c r="S38" i="102"/>
  <c r="G17" i="112"/>
  <c r="J21" i="114"/>
  <c r="G33" i="114"/>
  <c r="G27" i="110"/>
  <c r="G23" i="107"/>
  <c r="V59" i="117"/>
  <c r="J39" i="108"/>
  <c r="J16" i="114"/>
  <c r="G30" i="108"/>
  <c r="S18" i="102"/>
  <c r="AS19" i="99"/>
  <c r="AT19" i="99" s="1"/>
  <c r="G27" i="99"/>
  <c r="L23" i="99"/>
  <c r="M23" i="99" s="1"/>
  <c r="J35" i="89"/>
  <c r="AH41" i="78"/>
  <c r="AB68" i="78"/>
  <c r="AB63" i="78"/>
  <c r="D51" i="78"/>
  <c r="S22" i="78"/>
  <c r="J37" i="89"/>
  <c r="K63" i="78"/>
  <c r="V17" i="94"/>
  <c r="K41" i="78"/>
  <c r="AI41" i="78"/>
  <c r="AE68" i="78"/>
  <c r="AI51" i="78"/>
  <c r="AH22" i="78"/>
  <c r="J22" i="78"/>
  <c r="G41" i="117"/>
  <c r="AH23" i="102"/>
  <c r="D28" i="102"/>
  <c r="L29" i="101"/>
  <c r="M29" i="101" s="1"/>
  <c r="AN57" i="90"/>
  <c r="U68" i="117"/>
  <c r="AL38" i="102"/>
  <c r="P38" i="102"/>
  <c r="P36" i="102"/>
  <c r="G24" i="113"/>
  <c r="J26" i="114"/>
  <c r="J35" i="114"/>
  <c r="D25" i="110"/>
  <c r="D19" i="109"/>
  <c r="G35" i="109"/>
  <c r="G25" i="108"/>
  <c r="AH35" i="78"/>
  <c r="AN37" i="78"/>
  <c r="D32" i="113"/>
  <c r="V38" i="102"/>
  <c r="W74" i="90"/>
  <c r="D41" i="78"/>
  <c r="J63" i="78"/>
  <c r="J38" i="78"/>
  <c r="AI36" i="90"/>
  <c r="U28" i="72"/>
  <c r="J37" i="101"/>
  <c r="AJ41" i="78"/>
  <c r="L63" i="78"/>
  <c r="M63" i="78" s="1"/>
  <c r="AI57" i="90"/>
  <c r="N17" i="94"/>
  <c r="AJ68" i="78"/>
  <c r="AK68" i="78" s="1"/>
  <c r="AM36" i="90"/>
  <c r="AN36" i="90" s="1"/>
  <c r="U70" i="117"/>
  <c r="AJ36" i="102"/>
  <c r="AK36" i="102" s="1"/>
  <c r="D38" i="102"/>
  <c r="J29" i="112"/>
  <c r="G33" i="109"/>
  <c r="D35" i="108"/>
  <c r="V34" i="117"/>
  <c r="D32" i="112"/>
  <c r="J22" i="110"/>
  <c r="G34" i="110"/>
  <c r="D30" i="108"/>
  <c r="AA19" i="99"/>
  <c r="AB19" i="99" s="1"/>
  <c r="P41" i="78"/>
  <c r="K68" i="78"/>
  <c r="X63" i="78"/>
  <c r="Y63" i="78" s="1"/>
  <c r="S51" i="78"/>
  <c r="H19" i="118"/>
  <c r="AH63" i="78"/>
  <c r="U17" i="94"/>
  <c r="G24" i="89"/>
  <c r="G41" i="78"/>
  <c r="AE63" i="78"/>
  <c r="AN22" i="78"/>
  <c r="L22" i="78"/>
  <c r="M22" i="78" s="1"/>
  <c r="H19" i="72"/>
  <c r="AJ23" i="102"/>
  <c r="K28" i="102"/>
  <c r="Y37" i="101"/>
  <c r="AA17" i="99"/>
  <c r="AB17" i="99" s="1"/>
  <c r="U92" i="117"/>
  <c r="H35" i="117"/>
  <c r="AI38" i="102"/>
  <c r="AH38" i="102"/>
  <c r="G38" i="102"/>
  <c r="K36" i="102"/>
  <c r="AI36" i="102"/>
  <c r="AC22" i="101"/>
  <c r="AD19" i="101"/>
  <c r="AE19" i="101" s="1"/>
  <c r="J25" i="113"/>
  <c r="J25" i="110"/>
  <c r="J25" i="108"/>
  <c r="J33" i="108"/>
  <c r="S60" i="78"/>
  <c r="J32" i="113"/>
  <c r="W28" i="102"/>
  <c r="Y38" i="102"/>
  <c r="G38" i="108"/>
  <c r="AN41" i="78"/>
  <c r="X38" i="78"/>
  <c r="Y38" i="78" s="1"/>
  <c r="J24" i="89"/>
  <c r="O28" i="72"/>
  <c r="W41" i="78"/>
  <c r="K36" i="90"/>
  <c r="U19" i="72"/>
  <c r="H28" i="72"/>
  <c r="W51" i="78"/>
  <c r="AN51" i="78"/>
  <c r="X51" i="78"/>
  <c r="Y51" i="78" s="1"/>
  <c r="C57" i="90"/>
  <c r="D57" i="90" s="1"/>
  <c r="AG57" i="90"/>
  <c r="AH57" i="90" s="1"/>
  <c r="J36" i="102"/>
  <c r="AP17" i="99"/>
  <c r="AQ17" i="99" s="1"/>
  <c r="D29" i="112"/>
  <c r="D33" i="109"/>
  <c r="G60" i="117"/>
  <c r="G32" i="112"/>
  <c r="D16" i="114"/>
  <c r="G22" i="110"/>
  <c r="L18" i="102"/>
  <c r="M18" i="102" s="1"/>
  <c r="N19" i="99"/>
  <c r="G63" i="78"/>
  <c r="G51" i="78"/>
  <c r="G33" i="89"/>
  <c r="AK41" i="78"/>
  <c r="AI63" i="78"/>
  <c r="W63" i="78"/>
  <c r="N19" i="72"/>
  <c r="K23" i="99"/>
  <c r="D38" i="108"/>
  <c r="O56" i="117"/>
  <c r="J23" i="102"/>
  <c r="AO29" i="101"/>
  <c r="V36" i="90"/>
  <c r="K37" i="101"/>
  <c r="AM38" i="102"/>
  <c r="AN38" i="102" s="1"/>
  <c r="W36" i="102"/>
  <c r="AO22" i="101"/>
  <c r="D32" i="110"/>
  <c r="D35" i="109"/>
  <c r="K66" i="90"/>
  <c r="K57" i="90"/>
  <c r="AN63" i="78"/>
  <c r="W57" i="90"/>
  <c r="N28" i="72"/>
  <c r="S41" i="78"/>
  <c r="V28" i="72"/>
  <c r="O17" i="94"/>
  <c r="AB38" i="78"/>
  <c r="D38" i="78"/>
  <c r="AE41" i="78"/>
  <c r="AH22" i="102"/>
  <c r="J34" i="102"/>
  <c r="AI34" i="102"/>
  <c r="K34" i="102"/>
  <c r="S34" i="102"/>
  <c r="L25" i="102"/>
  <c r="M25" i="102" s="1"/>
  <c r="AJ25" i="102"/>
  <c r="AK25" i="102" s="1"/>
  <c r="X70" i="78"/>
  <c r="Y70" i="78" s="1"/>
  <c r="P24" i="78"/>
  <c r="D25" i="78"/>
  <c r="AE70" i="78"/>
  <c r="AN24" i="78"/>
  <c r="D70" i="78"/>
  <c r="AI28" i="78"/>
  <c r="L31" i="78"/>
  <c r="M31" i="78" s="1"/>
  <c r="V28" i="78"/>
  <c r="P25" i="78"/>
  <c r="W24" i="78"/>
  <c r="D37" i="102"/>
  <c r="AH40" i="102"/>
  <c r="D40" i="102"/>
  <c r="L40" i="102"/>
  <c r="AE22" i="102"/>
  <c r="Y22" i="102"/>
  <c r="AB20" i="102"/>
  <c r="AE56" i="78"/>
  <c r="J25" i="78"/>
  <c r="AE37" i="102"/>
  <c r="M40" i="102"/>
  <c r="G56" i="78"/>
  <c r="J56" i="78"/>
  <c r="J22" i="102"/>
  <c r="AE34" i="102"/>
  <c r="W34" i="102"/>
  <c r="G34" i="102"/>
  <c r="G25" i="102"/>
  <c r="AL25" i="102"/>
  <c r="AH65" i="78"/>
  <c r="AE28" i="78"/>
  <c r="G31" i="78"/>
  <c r="J24" i="78"/>
  <c r="AJ70" i="78"/>
  <c r="AK70" i="78" s="1"/>
  <c r="AH70" i="78"/>
  <c r="AK25" i="78"/>
  <c r="AH28" i="78"/>
  <c r="W31" i="78"/>
  <c r="L25" i="78"/>
  <c r="M25" i="78" s="1"/>
  <c r="V24" i="78"/>
  <c r="S70" i="78"/>
  <c r="AI37" i="102"/>
  <c r="AB22" i="102"/>
  <c r="AJ40" i="102"/>
  <c r="S40" i="102"/>
  <c r="Y40" i="102"/>
  <c r="W22" i="102"/>
  <c r="K22" i="102"/>
  <c r="S22" i="102"/>
  <c r="G20" i="102"/>
  <c r="S56" i="78"/>
  <c r="AE31" i="78"/>
  <c r="K31" i="78"/>
  <c r="W25" i="78"/>
  <c r="J37" i="102"/>
  <c r="AM22" i="102"/>
  <c r="AN22" i="102" s="1"/>
  <c r="L58" i="78"/>
  <c r="X25" i="78"/>
  <c r="Y25" i="78" s="1"/>
  <c r="AH34" i="102"/>
  <c r="X34" i="102"/>
  <c r="Y34" i="102" s="1"/>
  <c r="V70" i="78"/>
  <c r="X31" i="78"/>
  <c r="Y31" i="78" s="1"/>
  <c r="AN28" i="78"/>
  <c r="L70" i="78"/>
  <c r="M70" i="78" s="1"/>
  <c r="X24" i="78"/>
  <c r="Y24" i="78" s="1"/>
  <c r="S31" i="78"/>
  <c r="P22" i="102"/>
  <c r="J40" i="102"/>
  <c r="AL40" i="102"/>
  <c r="K40" i="102"/>
  <c r="AL22" i="102"/>
  <c r="V22" i="102"/>
  <c r="L22" i="102"/>
  <c r="M22" i="102" s="1"/>
  <c r="X20" i="102"/>
  <c r="Y20" i="102" s="1"/>
  <c r="D73" i="78"/>
  <c r="G37" i="102"/>
  <c r="AN40" i="102"/>
  <c r="AJ22" i="102"/>
  <c r="AK22" i="102" s="1"/>
  <c r="AB56" i="78"/>
  <c r="AB31" i="78"/>
  <c r="V25" i="78"/>
  <c r="W56" i="78"/>
  <c r="N70" i="117"/>
  <c r="G56" i="117"/>
  <c r="U39" i="117"/>
  <c r="N34" i="99"/>
  <c r="S17" i="99"/>
  <c r="G27" i="108"/>
  <c r="U93" i="117"/>
  <c r="U59" i="117"/>
  <c r="U60" i="117"/>
  <c r="G18" i="108"/>
  <c r="J34" i="108"/>
  <c r="D19" i="99"/>
  <c r="L19" i="99"/>
  <c r="M19" i="99" s="1"/>
  <c r="K19" i="99"/>
  <c r="O72" i="117"/>
  <c r="H18" i="96"/>
  <c r="J27" i="99"/>
  <c r="Z23" i="99"/>
  <c r="O41" i="117"/>
  <c r="H70" i="117"/>
  <c r="N56" i="117"/>
  <c r="D27" i="108"/>
  <c r="J28" i="107"/>
  <c r="V93" i="117"/>
  <c r="O59" i="117"/>
  <c r="O60" i="117"/>
  <c r="N34" i="117"/>
  <c r="AC19" i="99"/>
  <c r="Z19" i="99"/>
  <c r="AP19" i="99"/>
  <c r="AQ19" i="99" s="1"/>
  <c r="O19" i="99"/>
  <c r="P19" i="99" s="1"/>
  <c r="AI63" i="90"/>
  <c r="V72" i="117"/>
  <c r="H56" i="117"/>
  <c r="V39" i="117"/>
  <c r="AC29" i="101"/>
  <c r="AP37" i="101"/>
  <c r="AQ37" i="101" s="1"/>
  <c r="V37" i="101"/>
  <c r="AN37" i="101"/>
  <c r="N92" i="117"/>
  <c r="V50" i="117"/>
  <c r="G68" i="117"/>
  <c r="U35" i="117"/>
  <c r="G35" i="117"/>
  <c r="D30" i="109"/>
  <c r="AK22" i="101"/>
  <c r="AH22" i="101"/>
  <c r="D26" i="114"/>
  <c r="J32" i="110"/>
  <c r="G28" i="108"/>
  <c r="D27" i="112"/>
  <c r="G34" i="113"/>
  <c r="J27" i="114"/>
  <c r="G29" i="108"/>
  <c r="V74" i="90"/>
  <c r="J28" i="89"/>
  <c r="AC34" i="101"/>
  <c r="AR38" i="101"/>
  <c r="AQ38" i="101"/>
  <c r="V21" i="94"/>
  <c r="U31" i="117"/>
  <c r="R36" i="90"/>
  <c r="S36" i="90" s="1"/>
  <c r="H41" i="117"/>
  <c r="H39" i="117"/>
  <c r="K17" i="99"/>
  <c r="G36" i="113"/>
  <c r="G29" i="114"/>
  <c r="D37" i="114"/>
  <c r="G37" i="109"/>
  <c r="G23" i="108"/>
  <c r="N59" i="117"/>
  <c r="H59" i="117"/>
  <c r="U34" i="117"/>
  <c r="G22" i="113"/>
  <c r="S19" i="99"/>
  <c r="AK19" i="99"/>
  <c r="V19" i="99"/>
  <c r="G19" i="99"/>
  <c r="N72" i="117"/>
  <c r="V34" i="118"/>
  <c r="O32" i="118"/>
  <c r="V18" i="96"/>
  <c r="Y27" i="99"/>
  <c r="U72" i="117"/>
  <c r="O39" i="117"/>
  <c r="U41" i="117"/>
  <c r="AP29" i="101"/>
  <c r="AQ29" i="101" s="1"/>
  <c r="AN29" i="101"/>
  <c r="D22" i="112"/>
  <c r="AO37" i="101"/>
  <c r="AD37" i="101"/>
  <c r="AE37" i="101" s="1"/>
  <c r="AC37" i="101"/>
  <c r="AR17" i="99"/>
  <c r="O92" i="117"/>
  <c r="N50" i="117"/>
  <c r="O35" i="117"/>
  <c r="J22" i="101"/>
  <c r="L22" i="101"/>
  <c r="M22" i="101" s="1"/>
  <c r="Z22" i="101"/>
  <c r="AC19" i="101"/>
  <c r="J30" i="113"/>
  <c r="J17" i="113"/>
  <c r="J35" i="112"/>
  <c r="D21" i="110"/>
  <c r="J29" i="110"/>
  <c r="V35" i="118"/>
  <c r="AI66" i="90"/>
  <c r="N36" i="72"/>
  <c r="J38" i="101"/>
  <c r="D29" i="114"/>
  <c r="H34" i="118"/>
  <c r="O70" i="117"/>
  <c r="J27" i="107"/>
  <c r="N37" i="101"/>
  <c r="S37" i="101"/>
  <c r="V35" i="117"/>
  <c r="AA22" i="101"/>
  <c r="AB22" i="101" s="1"/>
  <c r="G22" i="112"/>
  <c r="G30" i="113"/>
  <c r="J23" i="112"/>
  <c r="J34" i="113"/>
  <c r="G27" i="114"/>
  <c r="D29" i="110"/>
  <c r="X74" i="90"/>
  <c r="O35" i="118"/>
  <c r="H31" i="117"/>
  <c r="L56" i="78"/>
  <c r="M56" i="78" s="1"/>
  <c r="V31" i="78"/>
  <c r="P37" i="102"/>
  <c r="S37" i="102"/>
  <c r="AJ37" i="102"/>
  <c r="AK37" i="102" s="1"/>
  <c r="W40" i="102"/>
  <c r="AI40" i="102"/>
  <c r="AB38" i="101"/>
  <c r="AH38" i="101"/>
  <c r="G38" i="101"/>
  <c r="Y38" i="101"/>
  <c r="G30" i="94"/>
  <c r="H26" i="96"/>
  <c r="X56" i="78"/>
  <c r="Y56" i="78" s="1"/>
  <c r="AE25" i="78"/>
  <c r="AL37" i="102"/>
  <c r="Y41" i="78"/>
  <c r="AJ63" i="78"/>
  <c r="AK63" i="78" s="1"/>
  <c r="AI38" i="78"/>
  <c r="G31" i="89"/>
  <c r="O31" i="117"/>
  <c r="AI25" i="90"/>
  <c r="AH31" i="78"/>
  <c r="P56" i="78"/>
  <c r="AI25" i="78"/>
  <c r="AI56" i="78"/>
  <c r="D38" i="101"/>
  <c r="AJ31" i="78"/>
  <c r="AK31" i="78" s="1"/>
  <c r="P67" i="78"/>
  <c r="G67" i="78"/>
  <c r="K67" i="78"/>
  <c r="G38" i="78"/>
  <c r="O19" i="72"/>
  <c r="O36" i="90"/>
  <c r="P36" i="90" s="1"/>
  <c r="I36" i="90"/>
  <c r="J36" i="90" s="1"/>
  <c r="AA57" i="90"/>
  <c r="AB57" i="90" s="1"/>
  <c r="I57" i="90"/>
  <c r="J57" i="90" s="1"/>
  <c r="V37" i="102"/>
  <c r="V40" i="102"/>
  <c r="AE38" i="101"/>
  <c r="O38" i="101"/>
  <c r="P38" i="101" s="1"/>
  <c r="AO38" i="101"/>
  <c r="M38" i="101"/>
  <c r="N30" i="94"/>
  <c r="AK38" i="101"/>
  <c r="G26" i="96"/>
  <c r="K56" i="78"/>
  <c r="AB25" i="78"/>
  <c r="J31" i="78"/>
  <c r="L37" i="102"/>
  <c r="M37" i="102" s="1"/>
  <c r="N31" i="117"/>
  <c r="K25" i="78"/>
  <c r="AN56" i="78"/>
  <c r="AN31" i="78"/>
  <c r="D56" i="78"/>
  <c r="Z38" i="101"/>
  <c r="G25" i="78"/>
  <c r="AK40" i="102"/>
  <c r="S38" i="78"/>
  <c r="AH38" i="78"/>
  <c r="C33" i="90"/>
  <c r="D33" i="90" s="1"/>
  <c r="AA36" i="90"/>
  <c r="AB36" i="90" s="1"/>
  <c r="AG36" i="90"/>
  <c r="AH36" i="90" s="1"/>
  <c r="F57" i="90"/>
  <c r="G57" i="90" s="1"/>
  <c r="U57" i="90"/>
  <c r="V57" i="90" s="1"/>
  <c r="AM37" i="102"/>
  <c r="AN37" i="102" s="1"/>
  <c r="J31" i="89"/>
  <c r="K38" i="101"/>
  <c r="AN25" i="78"/>
  <c r="P31" i="78"/>
  <c r="V38" i="78"/>
  <c r="K38" i="78"/>
  <c r="AD36" i="90"/>
  <c r="AE36" i="90" s="1"/>
  <c r="O57" i="90"/>
  <c r="P57" i="90" s="1"/>
  <c r="AD57" i="90"/>
  <c r="K19" i="90"/>
  <c r="AM19" i="90"/>
  <c r="AN19" i="90" s="1"/>
  <c r="AN35" i="78"/>
  <c r="X35" i="78"/>
  <c r="Y35" i="78" s="1"/>
  <c r="AE35" i="78"/>
  <c r="V35" i="78"/>
  <c r="AJ35" i="78"/>
  <c r="AK35" i="78" s="1"/>
  <c r="K35" i="78"/>
  <c r="J35" i="78"/>
  <c r="AB35" i="78"/>
  <c r="AD18" i="101"/>
  <c r="AE18" i="101" s="1"/>
  <c r="J18" i="101"/>
  <c r="AK18" i="101"/>
  <c r="AA25" i="99"/>
  <c r="AB25" i="99" s="1"/>
  <c r="AO25" i="99"/>
  <c r="AS25" i="99"/>
  <c r="AT25" i="99" s="1"/>
  <c r="V36" i="96"/>
  <c r="D27" i="78"/>
  <c r="V19" i="118"/>
  <c r="AN38" i="99"/>
  <c r="H28" i="94"/>
  <c r="P27" i="78"/>
  <c r="Y74" i="90"/>
  <c r="D74" i="90"/>
  <c r="L74" i="90"/>
  <c r="AJ60" i="78"/>
  <c r="AK60" i="78" s="1"/>
  <c r="AE60" i="78"/>
  <c r="D20" i="102"/>
  <c r="S20" i="102"/>
  <c r="AL20" i="102"/>
  <c r="AM20" i="102"/>
  <c r="AN20" i="102" s="1"/>
  <c r="AI20" i="102"/>
  <c r="AK34" i="101"/>
  <c r="AA34" i="101"/>
  <c r="AB34" i="101" s="1"/>
  <c r="Z34" i="101"/>
  <c r="K34" i="101"/>
  <c r="AP34" i="101"/>
  <c r="AQ34" i="101" s="1"/>
  <c r="AR34" i="101"/>
  <c r="L34" i="101"/>
  <c r="M34" i="101" s="1"/>
  <c r="N34" i="101"/>
  <c r="D34" i="101"/>
  <c r="AD34" i="101"/>
  <c r="AE34" i="101" s="1"/>
  <c r="J34" i="101"/>
  <c r="O34" i="101"/>
  <c r="P34" i="101" s="1"/>
  <c r="AS34" i="101"/>
  <c r="AT34" i="101" s="1"/>
  <c r="S34" i="101"/>
  <c r="Y34" i="101"/>
  <c r="AH34" i="101"/>
  <c r="AJ30" i="78"/>
  <c r="AK30" i="78" s="1"/>
  <c r="W30" i="78"/>
  <c r="AH30" i="78"/>
  <c r="G30" i="78"/>
  <c r="D30" i="78"/>
  <c r="S30" i="78"/>
  <c r="G28" i="109"/>
  <c r="J28" i="109"/>
  <c r="U62" i="90"/>
  <c r="V62" i="90" s="1"/>
  <c r="AA62" i="90"/>
  <c r="AB62" i="90" s="1"/>
  <c r="I62" i="90"/>
  <c r="J62" i="90" s="1"/>
  <c r="AD62" i="90"/>
  <c r="AJ62" i="90" s="1"/>
  <c r="O62" i="90"/>
  <c r="P62" i="90" s="1"/>
  <c r="C62" i="90"/>
  <c r="D62" i="90" s="1"/>
  <c r="AM62" i="90"/>
  <c r="AN62" i="90" s="1"/>
  <c r="R62" i="90"/>
  <c r="AI62" i="90"/>
  <c r="W62" i="90"/>
  <c r="W64" i="78"/>
  <c r="D64" i="78"/>
  <c r="K64" i="78"/>
  <c r="AJ64" i="78"/>
  <c r="AK64" i="78" s="1"/>
  <c r="P64" i="78"/>
  <c r="G25" i="89"/>
  <c r="D25" i="89"/>
  <c r="G35" i="113"/>
  <c r="J35" i="113"/>
  <c r="D35" i="113"/>
  <c r="D33" i="110"/>
  <c r="G33" i="110"/>
  <c r="J30" i="89"/>
  <c r="D30" i="89"/>
  <c r="AJ40" i="78"/>
  <c r="AK40" i="78" s="1"/>
  <c r="S40" i="78"/>
  <c r="D40" i="78"/>
  <c r="G33" i="112"/>
  <c r="G37" i="114"/>
  <c r="G21" i="109"/>
  <c r="AA18" i="101"/>
  <c r="AB18" i="101" s="1"/>
  <c r="D18" i="113"/>
  <c r="D18" i="108"/>
  <c r="AS18" i="101"/>
  <c r="AT18" i="101" s="1"/>
  <c r="V18" i="101"/>
  <c r="AC18" i="101"/>
  <c r="AH25" i="99"/>
  <c r="Y25" i="99"/>
  <c r="AP25" i="99"/>
  <c r="AQ25" i="99" s="1"/>
  <c r="N28" i="94"/>
  <c r="X64" i="78"/>
  <c r="Y64" i="78" s="1"/>
  <c r="AB30" i="78"/>
  <c r="AB40" i="78"/>
  <c r="J40" i="78"/>
  <c r="V38" i="99"/>
  <c r="AN40" i="78"/>
  <c r="V28" i="94"/>
  <c r="G64" i="78"/>
  <c r="AI64" i="78"/>
  <c r="L30" i="78"/>
  <c r="M30" i="78" s="1"/>
  <c r="V40" i="78"/>
  <c r="N24" i="72"/>
  <c r="P40" i="78"/>
  <c r="O24" i="94"/>
  <c r="AE20" i="102"/>
  <c r="P20" i="102"/>
  <c r="G23" i="112"/>
  <c r="J33" i="110"/>
  <c r="G27" i="109"/>
  <c r="J29" i="108"/>
  <c r="AI74" i="90"/>
  <c r="K74" i="90"/>
  <c r="L37" i="78"/>
  <c r="M37" i="78" s="1"/>
  <c r="G37" i="78"/>
  <c r="AB37" i="78"/>
  <c r="L35" i="78"/>
  <c r="M35" i="78" s="1"/>
  <c r="AO34" i="101"/>
  <c r="AH40" i="78"/>
  <c r="K19" i="102"/>
  <c r="AL19" i="102"/>
  <c r="D19" i="102"/>
  <c r="AE19" i="102"/>
  <c r="P19" i="102"/>
  <c r="AB19" i="102"/>
  <c r="AH32" i="78"/>
  <c r="D32" i="78"/>
  <c r="L32" i="78"/>
  <c r="M32" i="78" s="1"/>
  <c r="K32" i="78"/>
  <c r="X32" i="78"/>
  <c r="Y32" i="78" s="1"/>
  <c r="P32" i="78"/>
  <c r="AB32" i="78"/>
  <c r="S32" i="78"/>
  <c r="V32" i="78"/>
  <c r="J32" i="78"/>
  <c r="AE32" i="78"/>
  <c r="W32" i="78"/>
  <c r="G32" i="78"/>
  <c r="AN32" i="78"/>
  <c r="AB74" i="78"/>
  <c r="AN74" i="78"/>
  <c r="S74" i="78"/>
  <c r="G74" i="78"/>
  <c r="AH74" i="78"/>
  <c r="V74" i="78"/>
  <c r="M74" i="90"/>
  <c r="AK74" i="90"/>
  <c r="AH74" i="90"/>
  <c r="J74" i="90"/>
  <c r="P74" i="90"/>
  <c r="G74" i="90"/>
  <c r="AN74" i="90"/>
  <c r="AI40" i="90"/>
  <c r="V60" i="78"/>
  <c r="G60" i="78"/>
  <c r="L60" i="78"/>
  <c r="M60" i="78" s="1"/>
  <c r="D60" i="78"/>
  <c r="P60" i="78"/>
  <c r="AI60" i="78"/>
  <c r="J60" i="78"/>
  <c r="AH60" i="78"/>
  <c r="AB60" i="78"/>
  <c r="V37" i="78"/>
  <c r="S37" i="78"/>
  <c r="AI37" i="78"/>
  <c r="W37" i="78"/>
  <c r="K37" i="78"/>
  <c r="AH37" i="78"/>
  <c r="AJ37" i="78"/>
  <c r="D37" i="78"/>
  <c r="P37" i="78"/>
  <c r="D25" i="99"/>
  <c r="P35" i="78"/>
  <c r="AI35" i="78"/>
  <c r="X37" i="78"/>
  <c r="Y37" i="78" s="1"/>
  <c r="D24" i="107"/>
  <c r="G24" i="107"/>
  <c r="D33" i="112"/>
  <c r="N18" i="101"/>
  <c r="D22" i="113"/>
  <c r="D34" i="108"/>
  <c r="O18" i="101"/>
  <c r="P18" i="101" s="1"/>
  <c r="K18" i="101"/>
  <c r="AN18" i="101"/>
  <c r="V25" i="99"/>
  <c r="AK25" i="99"/>
  <c r="U36" i="96"/>
  <c r="S64" i="78"/>
  <c r="U36" i="72"/>
  <c r="V28" i="118"/>
  <c r="X40" i="78"/>
  <c r="Y40" i="78" s="1"/>
  <c r="G36" i="72"/>
  <c r="G28" i="94"/>
  <c r="V64" i="78"/>
  <c r="W40" i="78"/>
  <c r="G40" i="78"/>
  <c r="V36" i="72"/>
  <c r="AN64" i="78"/>
  <c r="W20" i="102"/>
  <c r="AH20" i="102"/>
  <c r="L20" i="102"/>
  <c r="M20" i="102" s="1"/>
  <c r="D17" i="113"/>
  <c r="G21" i="110"/>
  <c r="D27" i="109"/>
  <c r="S74" i="90"/>
  <c r="AJ74" i="90"/>
  <c r="AB74" i="90"/>
  <c r="W40" i="90"/>
  <c r="AI19" i="90"/>
  <c r="J37" i="78"/>
  <c r="AN60" i="78"/>
  <c r="S35" i="78"/>
  <c r="W60" i="78"/>
  <c r="W35" i="78"/>
  <c r="G35" i="78"/>
  <c r="D28" i="109"/>
  <c r="K62" i="90"/>
  <c r="AN34" i="101"/>
  <c r="N68" i="117"/>
  <c r="H68" i="117"/>
  <c r="V68" i="117"/>
  <c r="U50" i="117"/>
  <c r="G50" i="117"/>
  <c r="H50" i="117"/>
  <c r="V92" i="117"/>
  <c r="H92" i="117"/>
  <c r="AB28" i="102"/>
  <c r="AM28" i="102"/>
  <c r="AN28" i="102" s="1"/>
  <c r="K23" i="102"/>
  <c r="G23" i="102"/>
  <c r="L36" i="102"/>
  <c r="M36" i="102" s="1"/>
  <c r="AE36" i="102"/>
  <c r="D36" i="102"/>
  <c r="N29" i="101"/>
  <c r="AR29" i="101"/>
  <c r="F62" i="90"/>
  <c r="G62" i="90" s="1"/>
  <c r="C36" i="90"/>
  <c r="D36" i="90" s="1"/>
  <c r="O33" i="90"/>
  <c r="P33" i="90" s="1"/>
  <c r="F36" i="90"/>
  <c r="AA33" i="90"/>
  <c r="AB33" i="90" s="1"/>
  <c r="R33" i="90"/>
  <c r="S33" i="90" s="1"/>
  <c r="I33" i="90"/>
  <c r="J33" i="90" s="1"/>
  <c r="AG33" i="90"/>
  <c r="AH33" i="90" s="1"/>
  <c r="F33" i="90"/>
  <c r="G33" i="90" s="1"/>
  <c r="AD33" i="90"/>
  <c r="U33" i="90"/>
  <c r="V33" i="90" s="1"/>
  <c r="E14" i="104"/>
  <c r="G8" i="104"/>
  <c r="F53" i="104"/>
  <c r="F47" i="104"/>
  <c r="E20" i="104"/>
  <c r="E38" i="104"/>
  <c r="G33" i="104"/>
  <c r="F23" i="104"/>
  <c r="E44" i="104"/>
  <c r="G39" i="104"/>
  <c r="F29" i="104"/>
  <c r="E50" i="104"/>
  <c r="E26" i="104"/>
  <c r="G45" i="104"/>
  <c r="G21" i="104"/>
  <c r="F35" i="104"/>
  <c r="E11" i="104"/>
  <c r="E56" i="104"/>
  <c r="E32" i="104"/>
  <c r="G51" i="104"/>
  <c r="G27" i="104"/>
  <c r="F41" i="104"/>
  <c r="F17" i="104"/>
  <c r="C11" i="85"/>
  <c r="C11" i="102"/>
  <c r="AA11" i="102" s="1"/>
  <c r="C11" i="98"/>
  <c r="C11" i="118"/>
  <c r="Q11" i="118" s="1"/>
  <c r="G7" i="104"/>
  <c r="E54" i="104"/>
  <c r="E48" i="104"/>
  <c r="E42" i="104"/>
  <c r="E36" i="104"/>
  <c r="E30" i="104"/>
  <c r="E24" i="104"/>
  <c r="E18" i="104"/>
  <c r="D12" i="104"/>
  <c r="G56" i="104"/>
  <c r="G50" i="104"/>
  <c r="G44" i="104"/>
  <c r="G38" i="104"/>
  <c r="G32" i="104"/>
  <c r="G26" i="104"/>
  <c r="F57" i="104"/>
  <c r="F51" i="104"/>
  <c r="F45" i="104"/>
  <c r="F39" i="104"/>
  <c r="F33" i="104"/>
  <c r="F27" i="104"/>
  <c r="F21" i="104"/>
  <c r="F15" i="104"/>
  <c r="D8" i="104"/>
  <c r="C11" i="89"/>
  <c r="C11" i="79"/>
  <c r="E53" i="104"/>
  <c r="E47" i="104"/>
  <c r="E41" i="104"/>
  <c r="E35" i="104"/>
  <c r="E29" i="104"/>
  <c r="E23" i="104"/>
  <c r="E17" i="104"/>
  <c r="D11" i="104"/>
  <c r="G54" i="104"/>
  <c r="G48" i="104"/>
  <c r="G42" i="104"/>
  <c r="G36" i="104"/>
  <c r="G30" i="104"/>
  <c r="G24" i="104"/>
  <c r="F56" i="104"/>
  <c r="F50" i="104"/>
  <c r="F44" i="104"/>
  <c r="F38" i="104"/>
  <c r="F32" i="104"/>
  <c r="F26" i="104"/>
  <c r="F20" i="104"/>
  <c r="F14" i="104"/>
  <c r="D6" i="104"/>
  <c r="C11" i="97"/>
  <c r="E57" i="104"/>
  <c r="E51" i="104"/>
  <c r="E45" i="104"/>
  <c r="E39" i="104"/>
  <c r="E33" i="104"/>
  <c r="E27" i="104"/>
  <c r="E21" i="104"/>
  <c r="E15" i="104"/>
  <c r="G6" i="104"/>
  <c r="G12" i="104"/>
  <c r="G53" i="104"/>
  <c r="G47" i="104"/>
  <c r="G41" i="104"/>
  <c r="G35" i="104"/>
  <c r="G29" i="104"/>
  <c r="G23" i="104"/>
  <c r="F54" i="104"/>
  <c r="F48" i="104"/>
  <c r="F42" i="104"/>
  <c r="F36" i="104"/>
  <c r="F30" i="104"/>
  <c r="F24" i="104"/>
  <c r="F18" i="104"/>
  <c r="Z45" i="78"/>
  <c r="AL45" i="78"/>
  <c r="G57" i="104"/>
  <c r="D53" i="104"/>
  <c r="D47" i="104"/>
  <c r="D41" i="104"/>
  <c r="D35" i="104"/>
  <c r="D29" i="104"/>
  <c r="D23" i="104"/>
  <c r="G18" i="104"/>
  <c r="G15" i="104"/>
  <c r="F12" i="104"/>
  <c r="E8" i="104"/>
  <c r="D57" i="104"/>
  <c r="D51" i="104"/>
  <c r="D45" i="104"/>
  <c r="D39" i="104"/>
  <c r="D33" i="104"/>
  <c r="D27" i="104"/>
  <c r="D21" i="104"/>
  <c r="D18" i="104"/>
  <c r="D15" i="104"/>
  <c r="G11" i="104"/>
  <c r="F6" i="104"/>
  <c r="D56" i="104"/>
  <c r="D50" i="104"/>
  <c r="D44" i="104"/>
  <c r="D38" i="104"/>
  <c r="D32" i="104"/>
  <c r="D26" i="104"/>
  <c r="G20" i="104"/>
  <c r="G17" i="104"/>
  <c r="G14" i="104"/>
  <c r="F11" i="104"/>
  <c r="E6" i="104"/>
  <c r="D54" i="104"/>
  <c r="D48" i="104"/>
  <c r="D42" i="104"/>
  <c r="D36" i="104"/>
  <c r="D30" i="104"/>
  <c r="D24" i="104"/>
  <c r="D20" i="104"/>
  <c r="D17" i="104"/>
  <c r="D14" i="104"/>
  <c r="F8" i="104"/>
  <c r="R11" i="79"/>
  <c r="G102" i="117"/>
  <c r="G23" i="117"/>
  <c r="G98" i="117"/>
  <c r="H91" i="117"/>
  <c r="H65" i="117"/>
  <c r="G18" i="117"/>
  <c r="V22" i="118"/>
  <c r="L30" i="99"/>
  <c r="M30" i="99" s="1"/>
  <c r="Y30" i="99"/>
  <c r="V70" i="117"/>
  <c r="U23" i="117"/>
  <c r="N102" i="117"/>
  <c r="L39" i="102"/>
  <c r="S21" i="102"/>
  <c r="AK28" i="101"/>
  <c r="V52" i="117"/>
  <c r="V19" i="117"/>
  <c r="Z32" i="101"/>
  <c r="X21" i="102"/>
  <c r="Y21" i="102" s="1"/>
  <c r="AD28" i="101"/>
  <c r="AE28" i="101" s="1"/>
  <c r="G22" i="89"/>
  <c r="P40" i="101"/>
  <c r="V18" i="117"/>
  <c r="H22" i="118"/>
  <c r="H23" i="118"/>
  <c r="H23" i="117"/>
  <c r="O102" i="117"/>
  <c r="J19" i="99"/>
  <c r="AH19" i="99"/>
  <c r="AH17" i="99"/>
  <c r="D17" i="99"/>
  <c r="AD17" i="99"/>
  <c r="AE17" i="99" s="1"/>
  <c r="G17" i="99"/>
  <c r="D34" i="99"/>
  <c r="AK34" i="99"/>
  <c r="AO34" i="99"/>
  <c r="AM21" i="90"/>
  <c r="AN21" i="90" s="1"/>
  <c r="K21" i="90"/>
  <c r="U21" i="90"/>
  <c r="V21" i="90" s="1"/>
  <c r="W21" i="90"/>
  <c r="AB25" i="102"/>
  <c r="J25" i="102"/>
  <c r="AB24" i="78"/>
  <c r="AE24" i="78"/>
  <c r="L24" i="78"/>
  <c r="M24" i="78" s="1"/>
  <c r="V20" i="72"/>
  <c r="H20" i="72"/>
  <c r="U20" i="72"/>
  <c r="O20" i="72"/>
  <c r="R30" i="90"/>
  <c r="S30" i="90" s="1"/>
  <c r="K30" i="90"/>
  <c r="C30" i="90"/>
  <c r="D30" i="90" s="1"/>
  <c r="G28" i="113"/>
  <c r="D28" i="113"/>
  <c r="G23" i="109"/>
  <c r="D23" i="109"/>
  <c r="D29" i="107"/>
  <c r="G29" i="107"/>
  <c r="D26" i="112"/>
  <c r="G26" i="112"/>
  <c r="D20" i="110"/>
  <c r="G20" i="110"/>
  <c r="D34" i="109"/>
  <c r="J34" i="109"/>
  <c r="J32" i="108"/>
  <c r="G32" i="108"/>
  <c r="G29" i="117"/>
  <c r="V29" i="117"/>
  <c r="N29" i="117"/>
  <c r="U29" i="117"/>
  <c r="D22" i="114"/>
  <c r="J22" i="114"/>
  <c r="G22" i="114"/>
  <c r="U52" i="117"/>
  <c r="O52" i="117"/>
  <c r="G52" i="117"/>
  <c r="U67" i="117"/>
  <c r="N67" i="117"/>
  <c r="G67" i="117"/>
  <c r="O67" i="117"/>
  <c r="U101" i="117"/>
  <c r="H101" i="117"/>
  <c r="V101" i="117"/>
  <c r="G101" i="117"/>
  <c r="N69" i="117"/>
  <c r="U69" i="117"/>
  <c r="O69" i="117"/>
  <c r="V69" i="117"/>
  <c r="H69" i="117"/>
  <c r="U63" i="117"/>
  <c r="O63" i="117"/>
  <c r="N63" i="117"/>
  <c r="H63" i="117"/>
  <c r="V63" i="117"/>
  <c r="N81" i="117"/>
  <c r="G81" i="117"/>
  <c r="H81" i="117"/>
  <c r="V81" i="117"/>
  <c r="U81" i="117"/>
  <c r="O33" i="117"/>
  <c r="V33" i="117"/>
  <c r="N33" i="117"/>
  <c r="U33" i="117"/>
  <c r="U19" i="117"/>
  <c r="H19" i="117"/>
  <c r="G19" i="117"/>
  <c r="G32" i="107"/>
  <c r="D32" i="107"/>
  <c r="J32" i="107"/>
  <c r="J18" i="107"/>
  <c r="G18" i="107"/>
  <c r="P21" i="102"/>
  <c r="L21" i="102"/>
  <c r="AE21" i="102"/>
  <c r="AM21" i="102"/>
  <c r="AN21" i="102" s="1"/>
  <c r="AI21" i="102"/>
  <c r="AJ21" i="102"/>
  <c r="AK21" i="102" s="1"/>
  <c r="J21" i="102"/>
  <c r="G21" i="102"/>
  <c r="V21" i="102"/>
  <c r="AB21" i="102"/>
  <c r="AE39" i="102"/>
  <c r="D39" i="102"/>
  <c r="AM39" i="102"/>
  <c r="AN39" i="102" s="1"/>
  <c r="M39" i="102"/>
  <c r="K39" i="102"/>
  <c r="AI39" i="102"/>
  <c r="AH39" i="102"/>
  <c r="AL39" i="102"/>
  <c r="P39" i="102"/>
  <c r="AB39" i="102"/>
  <c r="S39" i="102"/>
  <c r="AN40" i="101"/>
  <c r="AO40" i="101"/>
  <c r="G40" i="101"/>
  <c r="AD40" i="101"/>
  <c r="AE40" i="101" s="1"/>
  <c r="Y40" i="101"/>
  <c r="Z40" i="101"/>
  <c r="S40" i="101"/>
  <c r="L40" i="101"/>
  <c r="M40" i="101" s="1"/>
  <c r="AC40" i="101"/>
  <c r="AR40" i="101"/>
  <c r="AP40" i="101"/>
  <c r="AQ40" i="101" s="1"/>
  <c r="AK40" i="101"/>
  <c r="N40" i="101"/>
  <c r="D40" i="101"/>
  <c r="AA40" i="101"/>
  <c r="AB40" i="101" s="1"/>
  <c r="AS40" i="101"/>
  <c r="AT40" i="101" s="1"/>
  <c r="D28" i="101"/>
  <c r="L28" i="101"/>
  <c r="M28" i="101" s="1"/>
  <c r="N28" i="101"/>
  <c r="AO28" i="101"/>
  <c r="AN28" i="101"/>
  <c r="AS28" i="101"/>
  <c r="AT28" i="101" s="1"/>
  <c r="S28" i="101"/>
  <c r="G28" i="101"/>
  <c r="V28" i="101"/>
  <c r="K28" i="101"/>
  <c r="O28" i="101"/>
  <c r="P28" i="101" s="1"/>
  <c r="AP28" i="101"/>
  <c r="AQ28" i="101" s="1"/>
  <c r="J28" i="101"/>
  <c r="AR28" i="101"/>
  <c r="AC28" i="101"/>
  <c r="S30" i="99"/>
  <c r="AR30" i="99"/>
  <c r="V30" i="99"/>
  <c r="AS30" i="99"/>
  <c r="AT30" i="99" s="1"/>
  <c r="AK30" i="99"/>
  <c r="AN30" i="99"/>
  <c r="G37" i="96"/>
  <c r="V37" i="96"/>
  <c r="U33" i="94"/>
  <c r="O33" i="94"/>
  <c r="AE73" i="78"/>
  <c r="V73" i="78"/>
  <c r="P73" i="78"/>
  <c r="X73" i="78"/>
  <c r="Y73" i="78" s="1"/>
  <c r="W73" i="78"/>
  <c r="L73" i="78"/>
  <c r="W70" i="78"/>
  <c r="AB70" i="78"/>
  <c r="H33" i="72"/>
  <c r="G33" i="72"/>
  <c r="AI68" i="90"/>
  <c r="K68" i="90"/>
  <c r="S32" i="101"/>
  <c r="AA32" i="101"/>
  <c r="D32" i="101"/>
  <c r="AS32" i="101"/>
  <c r="AT32" i="101" s="1"/>
  <c r="N32" i="101"/>
  <c r="O32" i="101"/>
  <c r="P32" i="101" s="1"/>
  <c r="AR32" i="101"/>
  <c r="AH32" i="101"/>
  <c r="AP32" i="101"/>
  <c r="AQ32" i="101" s="1"/>
  <c r="AB32" i="101"/>
  <c r="AK32" i="101"/>
  <c r="AB33" i="78"/>
  <c r="D33" i="78"/>
  <c r="L33" i="78"/>
  <c r="M33" i="78" s="1"/>
  <c r="J33" i="78"/>
  <c r="J36" i="78"/>
  <c r="W36" i="78"/>
  <c r="AB36" i="78"/>
  <c r="G36" i="78"/>
  <c r="D36" i="78"/>
  <c r="K36" i="78"/>
  <c r="L36" i="78"/>
  <c r="M36" i="78" s="1"/>
  <c r="V36" i="78"/>
  <c r="AI36" i="78"/>
  <c r="X36" i="78"/>
  <c r="Y36" i="78" s="1"/>
  <c r="K19" i="78"/>
  <c r="AE19" i="78"/>
  <c r="G19" i="78"/>
  <c r="V19" i="78"/>
  <c r="AI19" i="78"/>
  <c r="J19" i="78"/>
  <c r="AB19" i="78"/>
  <c r="X19" i="78"/>
  <c r="Y19" i="78" s="1"/>
  <c r="G32" i="94"/>
  <c r="U32" i="94"/>
  <c r="AN19" i="101"/>
  <c r="V19" i="101"/>
  <c r="N19" i="101"/>
  <c r="L19" i="101"/>
  <c r="M19" i="101" s="1"/>
  <c r="S19" i="101"/>
  <c r="AS19" i="101"/>
  <c r="AT19" i="101" s="1"/>
  <c r="K19" i="101"/>
  <c r="Y19" i="101"/>
  <c r="Z36" i="99"/>
  <c r="AS36" i="99"/>
  <c r="AT36" i="99" s="1"/>
  <c r="O36" i="99"/>
  <c r="P36" i="99" s="1"/>
  <c r="O20" i="96"/>
  <c r="U20" i="96"/>
  <c r="V20" i="96"/>
  <c r="F21" i="90"/>
  <c r="G21" i="90" s="1"/>
  <c r="I22" i="90"/>
  <c r="J22" i="90" s="1"/>
  <c r="U22" i="90"/>
  <c r="V22" i="90" s="1"/>
  <c r="V34" i="96"/>
  <c r="O34" i="96"/>
  <c r="U34" i="96"/>
  <c r="C26" i="90"/>
  <c r="D26" i="90" s="1"/>
  <c r="W26" i="90"/>
  <c r="F26" i="90"/>
  <c r="G26" i="90" s="1"/>
  <c r="AE54" i="78"/>
  <c r="AJ54" i="78"/>
  <c r="AK54" i="78" s="1"/>
  <c r="J54" i="78"/>
  <c r="S54" i="78"/>
  <c r="X54" i="78"/>
  <c r="Y54" i="78" s="1"/>
  <c r="D18" i="102"/>
  <c r="H16" i="118"/>
  <c r="V16" i="118"/>
  <c r="D26" i="109"/>
  <c r="J26" i="109"/>
  <c r="U94" i="117"/>
  <c r="G94" i="117"/>
  <c r="N83" i="117"/>
  <c r="H83" i="117"/>
  <c r="O90" i="117"/>
  <c r="N90" i="117"/>
  <c r="G20" i="117"/>
  <c r="N20" i="117"/>
  <c r="U20" i="117"/>
  <c r="O103" i="117"/>
  <c r="U103" i="117"/>
  <c r="H103" i="117"/>
  <c r="N103" i="117"/>
  <c r="D30" i="102"/>
  <c r="W30" i="102"/>
  <c r="AI30" i="102"/>
  <c r="AR33" i="101"/>
  <c r="G33" i="101"/>
  <c r="V33" i="101"/>
  <c r="Z33" i="101"/>
  <c r="AN33" i="101"/>
  <c r="AO33" i="101"/>
  <c r="AK33" i="101"/>
  <c r="AC33" i="101"/>
  <c r="J33" i="102"/>
  <c r="AH33" i="102"/>
  <c r="P33" i="102"/>
  <c r="AB33" i="102"/>
  <c r="V33" i="102"/>
  <c r="AM33" i="102"/>
  <c r="X33" i="102"/>
  <c r="Y33" i="102" s="1"/>
  <c r="W24" i="102"/>
  <c r="O25" i="94"/>
  <c r="V25" i="94"/>
  <c r="N25" i="94"/>
  <c r="G25" i="94"/>
  <c r="AN65" i="78"/>
  <c r="AE65" i="78"/>
  <c r="K65" i="78"/>
  <c r="X65" i="78"/>
  <c r="Y65" i="78" s="1"/>
  <c r="AJ65" i="78"/>
  <c r="AK65" i="78" s="1"/>
  <c r="D65" i="78"/>
  <c r="G65" i="78"/>
  <c r="AI65" i="78"/>
  <c r="AB65" i="78"/>
  <c r="V65" i="78"/>
  <c r="V26" i="94"/>
  <c r="G26" i="94"/>
  <c r="N26" i="94"/>
  <c r="H26" i="94"/>
  <c r="AB61" i="78"/>
  <c r="V61" i="78"/>
  <c r="P24" i="102"/>
  <c r="J24" i="102"/>
  <c r="AH18" i="102"/>
  <c r="AH24" i="102"/>
  <c r="G18" i="102"/>
  <c r="AE18" i="102"/>
  <c r="AB18" i="102"/>
  <c r="V18" i="102"/>
  <c r="W54" i="78"/>
  <c r="O26" i="94"/>
  <c r="K26" i="90"/>
  <c r="L54" i="78"/>
  <c r="M54" i="78" s="1"/>
  <c r="O20" i="118"/>
  <c r="I38" i="90"/>
  <c r="J38" i="90" s="1"/>
  <c r="O38" i="90"/>
  <c r="P38" i="90" s="1"/>
  <c r="V21" i="118"/>
  <c r="O21" i="118"/>
  <c r="AE17" i="102"/>
  <c r="D17" i="102"/>
  <c r="AB17" i="102"/>
  <c r="S17" i="102"/>
  <c r="V17" i="102"/>
  <c r="AI17" i="102"/>
  <c r="AH17" i="102"/>
  <c r="X17" i="102"/>
  <c r="Y17" i="102" s="1"/>
  <c r="G17" i="102"/>
  <c r="O27" i="101"/>
  <c r="P27" i="101" s="1"/>
  <c r="AA27" i="101"/>
  <c r="AB27" i="101" s="1"/>
  <c r="AP27" i="101"/>
  <c r="AQ27" i="101" s="1"/>
  <c r="N27" i="101"/>
  <c r="G27" i="101"/>
  <c r="AH27" i="101"/>
  <c r="AD27" i="101"/>
  <c r="AE27" i="101" s="1"/>
  <c r="V27" i="101"/>
  <c r="V37" i="118"/>
  <c r="H37" i="118"/>
  <c r="O37" i="118"/>
  <c r="L21" i="101"/>
  <c r="AS21" i="101"/>
  <c r="AT21" i="101" s="1"/>
  <c r="D21" i="101"/>
  <c r="AM58" i="90"/>
  <c r="AN58" i="90" s="1"/>
  <c r="K58" i="90"/>
  <c r="AG58" i="90"/>
  <c r="AH58" i="90" s="1"/>
  <c r="R58" i="90"/>
  <c r="S58" i="90" s="1"/>
  <c r="AE24" i="102"/>
  <c r="AM18" i="102"/>
  <c r="AN18" i="102" s="1"/>
  <c r="H34" i="96"/>
  <c r="K24" i="102"/>
  <c r="AL24" i="102"/>
  <c r="AI18" i="102"/>
  <c r="L24" i="102"/>
  <c r="M24" i="102" s="1"/>
  <c r="D24" i="102"/>
  <c r="AM24" i="102"/>
  <c r="AN24" i="102" s="1"/>
  <c r="AL18" i="102"/>
  <c r="X18" i="102"/>
  <c r="Y18" i="102" s="1"/>
  <c r="W18" i="102"/>
  <c r="K54" i="78"/>
  <c r="O16" i="118"/>
  <c r="U26" i="94"/>
  <c r="AR21" i="101"/>
  <c r="J38" i="99"/>
  <c r="N38" i="99"/>
  <c r="Y38" i="99"/>
  <c r="Z38" i="99"/>
  <c r="AO38" i="99"/>
  <c r="AC38" i="99"/>
  <c r="AP38" i="99"/>
  <c r="AQ38" i="99" s="1"/>
  <c r="K38" i="99"/>
  <c r="AS38" i="99"/>
  <c r="AT38" i="99" s="1"/>
  <c r="D38" i="99"/>
  <c r="AK38" i="99"/>
  <c r="AD38" i="99"/>
  <c r="AE38" i="99" s="1"/>
  <c r="L38" i="99"/>
  <c r="M38" i="99" s="1"/>
  <c r="S38" i="99"/>
  <c r="AR38" i="99"/>
  <c r="H38" i="96"/>
  <c r="V38" i="96"/>
  <c r="H24" i="94"/>
  <c r="V24" i="94"/>
  <c r="AG56" i="90"/>
  <c r="AH56" i="90" s="1"/>
  <c r="I56" i="90"/>
  <c r="J56" i="90" s="1"/>
  <c r="K56" i="90"/>
  <c r="AA56" i="90"/>
  <c r="AB56" i="90" s="1"/>
  <c r="O24" i="90"/>
  <c r="P24" i="90" s="1"/>
  <c r="W24" i="90"/>
  <c r="AA24" i="90"/>
  <c r="AB24" i="90" s="1"/>
  <c r="AN52" i="78"/>
  <c r="AJ52" i="78"/>
  <c r="AK52" i="78" s="1"/>
  <c r="AE52" i="78"/>
  <c r="P52" i="78"/>
  <c r="J52" i="78"/>
  <c r="W27" i="78"/>
  <c r="K27" i="78"/>
  <c r="AH27" i="78"/>
  <c r="V27" i="78"/>
  <c r="X27" i="78"/>
  <c r="Y27" i="78" s="1"/>
  <c r="J27" i="78"/>
  <c r="L27" i="78"/>
  <c r="M27" i="78" s="1"/>
  <c r="AE27" i="78"/>
  <c r="S27" i="78"/>
  <c r="AO21" i="99"/>
  <c r="V20" i="94"/>
  <c r="AR24" i="99"/>
  <c r="V58" i="78"/>
  <c r="H18" i="72"/>
  <c r="L37" i="99"/>
  <c r="M37" i="99" s="1"/>
  <c r="L28" i="99"/>
  <c r="M28" i="99" s="1"/>
  <c r="O28" i="99"/>
  <c r="P28" i="99" s="1"/>
  <c r="AI30" i="90"/>
  <c r="D22" i="89"/>
  <c r="O18" i="72"/>
  <c r="V18" i="72"/>
  <c r="AI25" i="102"/>
  <c r="S25" i="102"/>
  <c r="P25" i="102"/>
  <c r="W25" i="102"/>
  <c r="AG30" i="90"/>
  <c r="AH30" i="90" s="1"/>
  <c r="U30" i="90"/>
  <c r="V30" i="90" s="1"/>
  <c r="I30" i="90"/>
  <c r="J30" i="90" s="1"/>
  <c r="C21" i="90"/>
  <c r="D21" i="90" s="1"/>
  <c r="AA21" i="90"/>
  <c r="AB21" i="90" s="1"/>
  <c r="I21" i="90"/>
  <c r="J21" i="90" s="1"/>
  <c r="Z21" i="99"/>
  <c r="G61" i="117"/>
  <c r="K20" i="78"/>
  <c r="V37" i="99"/>
  <c r="AK28" i="99"/>
  <c r="G34" i="89"/>
  <c r="G18" i="72"/>
  <c r="AH25" i="102"/>
  <c r="AE25" i="102"/>
  <c r="V25" i="102"/>
  <c r="O30" i="90"/>
  <c r="P30" i="90" s="1"/>
  <c r="F30" i="90"/>
  <c r="G30" i="90" s="1"/>
  <c r="AA30" i="90"/>
  <c r="AB30" i="90" s="1"/>
  <c r="AD63" i="90"/>
  <c r="AE63" i="90" s="1"/>
  <c r="AD21" i="90"/>
  <c r="N20" i="94"/>
  <c r="AH26" i="99"/>
  <c r="AJ20" i="78"/>
  <c r="AK20" i="78" s="1"/>
  <c r="AR28" i="99"/>
  <c r="AH37" i="99"/>
  <c r="AS37" i="99"/>
  <c r="AT37" i="99" s="1"/>
  <c r="Z28" i="99"/>
  <c r="K24" i="78"/>
  <c r="D34" i="89"/>
  <c r="W30" i="90"/>
  <c r="AI21" i="90"/>
  <c r="AD26" i="99"/>
  <c r="AE26" i="99" s="1"/>
  <c r="D25" i="102"/>
  <c r="AJ24" i="78"/>
  <c r="AK24" i="78" s="1"/>
  <c r="G24" i="78"/>
  <c r="N18" i="72"/>
  <c r="AD30" i="90"/>
  <c r="AE30" i="90" s="1"/>
  <c r="AM30" i="90"/>
  <c r="AN30" i="90" s="1"/>
  <c r="U35" i="90"/>
  <c r="V35" i="90" s="1"/>
  <c r="R21" i="90"/>
  <c r="S21" i="90" s="1"/>
  <c r="AG21" i="90"/>
  <c r="AH21" i="90" s="1"/>
  <c r="N21" i="99"/>
  <c r="V21" i="99"/>
  <c r="S21" i="99"/>
  <c r="Y26" i="99"/>
  <c r="S26" i="99"/>
  <c r="AO26" i="99"/>
  <c r="AP26" i="99"/>
  <c r="G26" i="99"/>
  <c r="L26" i="99"/>
  <c r="M26" i="99" s="1"/>
  <c r="AK26" i="99"/>
  <c r="V26" i="99"/>
  <c r="AC26" i="99"/>
  <c r="AA26" i="99"/>
  <c r="AB26" i="99" s="1"/>
  <c r="H38" i="117"/>
  <c r="N38" i="117"/>
  <c r="U38" i="117"/>
  <c r="I54" i="90"/>
  <c r="J54" i="90" s="1"/>
  <c r="O54" i="90"/>
  <c r="P54" i="90" s="1"/>
  <c r="C54" i="90"/>
  <c r="D54" i="90" s="1"/>
  <c r="AM54" i="90"/>
  <c r="AN54" i="90" s="1"/>
  <c r="R54" i="90"/>
  <c r="S54" i="90" s="1"/>
  <c r="F54" i="90"/>
  <c r="G54" i="90" s="1"/>
  <c r="AA54" i="90"/>
  <c r="AB54" i="90" s="1"/>
  <c r="AG54" i="90"/>
  <c r="AH54" i="90" s="1"/>
  <c r="AD54" i="90"/>
  <c r="U54" i="90"/>
  <c r="V54" i="90" s="1"/>
  <c r="AH66" i="78"/>
  <c r="AJ66" i="78"/>
  <c r="AK66" i="78" s="1"/>
  <c r="W66" i="78"/>
  <c r="G66" i="78"/>
  <c r="AN66" i="78"/>
  <c r="V66" i="78"/>
  <c r="S66" i="78"/>
  <c r="AB66" i="78"/>
  <c r="V24" i="72"/>
  <c r="U24" i="72"/>
  <c r="H24" i="72"/>
  <c r="J18" i="89"/>
  <c r="G18" i="89"/>
  <c r="O39" i="72"/>
  <c r="N39" i="72"/>
  <c r="M24" i="99"/>
  <c r="K26" i="99"/>
  <c r="G28" i="89"/>
  <c r="O30" i="72"/>
  <c r="AO37" i="99"/>
  <c r="AD37" i="99"/>
  <c r="AE37" i="99" s="1"/>
  <c r="G37" i="99"/>
  <c r="Y37" i="99"/>
  <c r="S37" i="99"/>
  <c r="AP28" i="99"/>
  <c r="AQ28" i="99" s="1"/>
  <c r="G28" i="99"/>
  <c r="K28" i="99"/>
  <c r="J28" i="99"/>
  <c r="AS21" i="99"/>
  <c r="AT21" i="99" s="1"/>
  <c r="X66" i="78"/>
  <c r="Y66" i="78" s="1"/>
  <c r="AE66" i="78"/>
  <c r="V38" i="117"/>
  <c r="O24" i="72"/>
  <c r="J26" i="99"/>
  <c r="N64" i="117"/>
  <c r="V64" i="117"/>
  <c r="O51" i="117"/>
  <c r="G51" i="117"/>
  <c r="N60" i="117"/>
  <c r="V60" i="117"/>
  <c r="AK37" i="101"/>
  <c r="AA37" i="101"/>
  <c r="V27" i="96"/>
  <c r="U27" i="96"/>
  <c r="O31" i="94"/>
  <c r="H31" i="94"/>
  <c r="N22" i="117"/>
  <c r="H22" i="117"/>
  <c r="V22" i="117"/>
  <c r="Z23" i="101"/>
  <c r="AD23" i="101"/>
  <c r="AE23" i="101" s="1"/>
  <c r="AR23" i="101"/>
  <c r="AK23" i="101"/>
  <c r="D23" i="101"/>
  <c r="AN23" i="101"/>
  <c r="AC23" i="101"/>
  <c r="AO23" i="101"/>
  <c r="N23" i="101"/>
  <c r="S23" i="101"/>
  <c r="L23" i="101"/>
  <c r="M23" i="101" s="1"/>
  <c r="AS23" i="101"/>
  <c r="AT23" i="101" s="1"/>
  <c r="AA23" i="101"/>
  <c r="AB23" i="101" s="1"/>
  <c r="K23" i="101"/>
  <c r="AP23" i="101"/>
  <c r="AQ23" i="101" s="1"/>
  <c r="AH23" i="101"/>
  <c r="O29" i="96"/>
  <c r="H29" i="96"/>
  <c r="U29" i="96"/>
  <c r="N29" i="96"/>
  <c r="O37" i="94"/>
  <c r="V37" i="94"/>
  <c r="N37" i="94"/>
  <c r="H37" i="94"/>
  <c r="AM71" i="90"/>
  <c r="AN71" i="90" s="1"/>
  <c r="AG71" i="90"/>
  <c r="AH71" i="90" s="1"/>
  <c r="U71" i="90"/>
  <c r="V71" i="90" s="1"/>
  <c r="I71" i="90"/>
  <c r="J71" i="90" s="1"/>
  <c r="AD71" i="90"/>
  <c r="AE71" i="90" s="1"/>
  <c r="R71" i="90"/>
  <c r="S71" i="90" s="1"/>
  <c r="F71" i="90"/>
  <c r="AA71" i="90"/>
  <c r="O71" i="90"/>
  <c r="P71" i="90" s="1"/>
  <c r="C71" i="90"/>
  <c r="D71" i="90" s="1"/>
  <c r="AM60" i="90"/>
  <c r="AN60" i="90" s="1"/>
  <c r="U60" i="90"/>
  <c r="V60" i="90" s="1"/>
  <c r="AD60" i="90"/>
  <c r="AE60" i="90" s="1"/>
  <c r="F60" i="90"/>
  <c r="G60" i="90" s="1"/>
  <c r="AG60" i="90"/>
  <c r="AH60" i="90" s="1"/>
  <c r="I60" i="90"/>
  <c r="J60" i="90" s="1"/>
  <c r="R60" i="90"/>
  <c r="S60" i="90" s="1"/>
  <c r="AA60" i="90"/>
  <c r="AB60" i="90" s="1"/>
  <c r="K60" i="90"/>
  <c r="O60" i="90"/>
  <c r="P60" i="90" s="1"/>
  <c r="AM28" i="90"/>
  <c r="AN28" i="90" s="1"/>
  <c r="U28" i="90"/>
  <c r="V28" i="90" s="1"/>
  <c r="AD28" i="90"/>
  <c r="AE28" i="90" s="1"/>
  <c r="F28" i="90"/>
  <c r="G28" i="90" s="1"/>
  <c r="AA28" i="90"/>
  <c r="AB28" i="90" s="1"/>
  <c r="O28" i="90"/>
  <c r="P28" i="90" s="1"/>
  <c r="W28" i="90"/>
  <c r="I28" i="90"/>
  <c r="J28" i="90" s="1"/>
  <c r="K28" i="90"/>
  <c r="W72" i="78"/>
  <c r="V72" i="78"/>
  <c r="L72" i="78"/>
  <c r="S72" i="78"/>
  <c r="AK72" i="78"/>
  <c r="K72" i="78"/>
  <c r="AN72" i="78"/>
  <c r="AI72" i="78"/>
  <c r="G72" i="78"/>
  <c r="D55" i="78"/>
  <c r="X55" i="78"/>
  <c r="Y55" i="78" s="1"/>
  <c r="P55" i="78"/>
  <c r="G55" i="78"/>
  <c r="AI55" i="78"/>
  <c r="AB55" i="78"/>
  <c r="K55" i="78"/>
  <c r="AJ55" i="78"/>
  <c r="AK55" i="78" s="1"/>
  <c r="V26" i="78"/>
  <c r="AH26" i="78"/>
  <c r="W38" i="102"/>
  <c r="J38" i="102"/>
  <c r="V22" i="101"/>
  <c r="AS22" i="101"/>
  <c r="AT22" i="101" s="1"/>
  <c r="AP22" i="101"/>
  <c r="AQ22" i="101" s="1"/>
  <c r="AN22" i="101"/>
  <c r="O22" i="101"/>
  <c r="P22" i="101" s="1"/>
  <c r="D22" i="101"/>
  <c r="G22" i="101"/>
  <c r="K22" i="101"/>
  <c r="AM69" i="90"/>
  <c r="AN69" i="90" s="1"/>
  <c r="U69" i="90"/>
  <c r="V69" i="90" s="1"/>
  <c r="AD69" i="90"/>
  <c r="F69" i="90"/>
  <c r="G69" i="90" s="1"/>
  <c r="O69" i="90"/>
  <c r="P69" i="90" s="1"/>
  <c r="C69" i="90"/>
  <c r="D69" i="90" s="1"/>
  <c r="AG69" i="90"/>
  <c r="AH69" i="90" s="1"/>
  <c r="R69" i="90"/>
  <c r="I69" i="90"/>
  <c r="J69" i="90" s="1"/>
  <c r="AA69" i="90"/>
  <c r="AB69" i="90" s="1"/>
  <c r="AM59" i="90"/>
  <c r="AN59" i="90" s="1"/>
  <c r="U59" i="90"/>
  <c r="V59" i="90" s="1"/>
  <c r="AD59" i="90"/>
  <c r="AE59" i="90" s="1"/>
  <c r="F59" i="90"/>
  <c r="G59" i="90" s="1"/>
  <c r="C59" i="90"/>
  <c r="D59" i="90" s="1"/>
  <c r="AG59" i="90"/>
  <c r="AH59" i="90" s="1"/>
  <c r="I59" i="90"/>
  <c r="J59" i="90" s="1"/>
  <c r="R59" i="90"/>
  <c r="S59" i="90" s="1"/>
  <c r="AA59" i="90"/>
  <c r="AB59" i="90" s="1"/>
  <c r="AI59" i="90"/>
  <c r="AG37" i="90"/>
  <c r="AH37" i="90" s="1"/>
  <c r="I37" i="90"/>
  <c r="J37" i="90" s="1"/>
  <c r="R37" i="90"/>
  <c r="S37" i="90" s="1"/>
  <c r="AA37" i="90"/>
  <c r="AB37" i="90" s="1"/>
  <c r="O37" i="90"/>
  <c r="P37" i="90" s="1"/>
  <c r="AM37" i="90"/>
  <c r="AN37" i="90" s="1"/>
  <c r="U37" i="90"/>
  <c r="V37" i="90" s="1"/>
  <c r="AD37" i="90"/>
  <c r="F37" i="90"/>
  <c r="C37" i="90"/>
  <c r="D37" i="90" s="1"/>
  <c r="AI73" i="78"/>
  <c r="M73" i="78"/>
  <c r="S73" i="78"/>
  <c r="AJ73" i="78"/>
  <c r="AK73" i="78" s="1"/>
  <c r="AH73" i="78"/>
  <c r="G73" i="78"/>
  <c r="AB73" i="78"/>
  <c r="AJ28" i="78"/>
  <c r="AK28" i="78" s="1"/>
  <c r="AB28" i="78"/>
  <c r="L28" i="78"/>
  <c r="M28" i="78" s="1"/>
  <c r="S28" i="78"/>
  <c r="G28" i="78"/>
  <c r="D28" i="78"/>
  <c r="AN70" i="78"/>
  <c r="K70" i="78"/>
  <c r="P70" i="78"/>
  <c r="V33" i="72"/>
  <c r="O33" i="72"/>
  <c r="N33" i="72"/>
  <c r="AG65" i="90"/>
  <c r="AH65" i="90" s="1"/>
  <c r="I65" i="90"/>
  <c r="J65" i="90" s="1"/>
  <c r="R65" i="90"/>
  <c r="S65" i="90" s="1"/>
  <c r="AA65" i="90"/>
  <c r="AB65" i="90" s="1"/>
  <c r="AM65" i="90"/>
  <c r="AN65" i="90" s="1"/>
  <c r="U65" i="90"/>
  <c r="V65" i="90" s="1"/>
  <c r="AD65" i="90"/>
  <c r="F65" i="90"/>
  <c r="G65" i="90" s="1"/>
  <c r="O65" i="90"/>
  <c r="P65" i="90" s="1"/>
  <c r="W65" i="90"/>
  <c r="AM55" i="90"/>
  <c r="AN55" i="90" s="1"/>
  <c r="U55" i="90"/>
  <c r="V55" i="90" s="1"/>
  <c r="AD55" i="90"/>
  <c r="AE55" i="90" s="1"/>
  <c r="F55" i="90"/>
  <c r="G55" i="90" s="1"/>
  <c r="O55" i="90"/>
  <c r="P55" i="90" s="1"/>
  <c r="C55" i="90"/>
  <c r="D55" i="90" s="1"/>
  <c r="AG55" i="90"/>
  <c r="AH55" i="90" s="1"/>
  <c r="I55" i="90"/>
  <c r="J55" i="90" s="1"/>
  <c r="R55" i="90"/>
  <c r="S55" i="90" s="1"/>
  <c r="AM27" i="90"/>
  <c r="AN27" i="90" s="1"/>
  <c r="U27" i="90"/>
  <c r="V27" i="90" s="1"/>
  <c r="AD27" i="90"/>
  <c r="F27" i="90"/>
  <c r="G27" i="90" s="1"/>
  <c r="C27" i="90"/>
  <c r="D27" i="90" s="1"/>
  <c r="AA27" i="90"/>
  <c r="AB27" i="90" s="1"/>
  <c r="AG27" i="90"/>
  <c r="AH27" i="90" s="1"/>
  <c r="W27" i="90"/>
  <c r="I27" i="90"/>
  <c r="J27" i="90" s="1"/>
  <c r="O27" i="90"/>
  <c r="P27" i="90" s="1"/>
  <c r="G29" i="78"/>
  <c r="V29" i="78"/>
  <c r="P59" i="78"/>
  <c r="AB59" i="78"/>
  <c r="AJ34" i="78"/>
  <c r="AK34" i="78" s="1"/>
  <c r="S34" i="78"/>
  <c r="AH34" i="78"/>
  <c r="C60" i="90"/>
  <c r="D60" i="90" s="1"/>
  <c r="O59" i="90"/>
  <c r="P59" i="90" s="1"/>
  <c r="U61" i="117"/>
  <c r="AO24" i="99"/>
  <c r="L21" i="99"/>
  <c r="M21" i="99" s="1"/>
  <c r="AP21" i="99"/>
  <c r="K21" i="99"/>
  <c r="H61" i="117"/>
  <c r="AH21" i="99"/>
  <c r="N24" i="99"/>
  <c r="AC24" i="99"/>
  <c r="K24" i="99"/>
  <c r="AK24" i="99"/>
  <c r="U39" i="72"/>
  <c r="AK21" i="99"/>
  <c r="J21" i="99"/>
  <c r="AC21" i="99"/>
  <c r="AQ21" i="99"/>
  <c r="H36" i="72"/>
  <c r="H30" i="72"/>
  <c r="O61" i="117"/>
  <c r="AN26" i="99"/>
  <c r="O26" i="99"/>
  <c r="P26" i="99" s="1"/>
  <c r="J28" i="108"/>
  <c r="AA37" i="99"/>
  <c r="AB37" i="99" s="1"/>
  <c r="AR37" i="99"/>
  <c r="O37" i="99"/>
  <c r="P37" i="99" s="1"/>
  <c r="Z37" i="99"/>
  <c r="K37" i="99"/>
  <c r="Y28" i="99"/>
  <c r="AO28" i="99"/>
  <c r="AA28" i="99"/>
  <c r="AB28" i="99" s="1"/>
  <c r="AD28" i="99"/>
  <c r="AE28" i="99" s="1"/>
  <c r="AN28" i="99"/>
  <c r="X23" i="102"/>
  <c r="Y23" i="102" s="1"/>
  <c r="AE23" i="102"/>
  <c r="AH28" i="102"/>
  <c r="D21" i="99"/>
  <c r="G30" i="109"/>
  <c r="D29" i="101"/>
  <c r="D66" i="78"/>
  <c r="X72" i="78"/>
  <c r="Y72" i="78" s="1"/>
  <c r="J55" i="78"/>
  <c r="W60" i="90"/>
  <c r="J66" i="78"/>
  <c r="O38" i="117"/>
  <c r="AI54" i="90"/>
  <c r="H39" i="72"/>
  <c r="G22" i="117"/>
  <c r="S22" i="101"/>
  <c r="Z24" i="99"/>
  <c r="AI71" i="90"/>
  <c r="D26" i="99"/>
  <c r="P72" i="78"/>
  <c r="W55" i="78"/>
  <c r="V23" i="101"/>
  <c r="P28" i="78"/>
  <c r="C65" i="90"/>
  <c r="D65" i="90" s="1"/>
  <c r="AA55" i="90"/>
  <c r="AB55" i="90" s="1"/>
  <c r="R28" i="90"/>
  <c r="S28" i="90" s="1"/>
  <c r="V24" i="99"/>
  <c r="S24" i="99"/>
  <c r="AD21" i="99"/>
  <c r="AE21" i="99" s="1"/>
  <c r="G20" i="94"/>
  <c r="O24" i="99"/>
  <c r="P24" i="99" s="1"/>
  <c r="G30" i="72"/>
  <c r="U20" i="94"/>
  <c r="D24" i="99"/>
  <c r="AD24" i="99"/>
  <c r="AE24" i="99" s="1"/>
  <c r="AN24" i="99"/>
  <c r="G21" i="99"/>
  <c r="AN21" i="99"/>
  <c r="O21" i="99"/>
  <c r="P21" i="99" s="1"/>
  <c r="V39" i="72"/>
  <c r="V30" i="72"/>
  <c r="AQ26" i="99"/>
  <c r="AR26" i="99"/>
  <c r="AP24" i="99"/>
  <c r="AQ24" i="99" s="1"/>
  <c r="G24" i="99"/>
  <c r="S28" i="99"/>
  <c r="U30" i="72"/>
  <c r="D37" i="99"/>
  <c r="AN37" i="99"/>
  <c r="J37" i="99"/>
  <c r="N37" i="99"/>
  <c r="V28" i="99"/>
  <c r="AC28" i="99"/>
  <c r="D28" i="99"/>
  <c r="AS28" i="99"/>
  <c r="AT28" i="99" s="1"/>
  <c r="S23" i="102"/>
  <c r="AL23" i="102"/>
  <c r="L28" i="102"/>
  <c r="M28" i="102" s="1"/>
  <c r="D27" i="107"/>
  <c r="AH36" i="102"/>
  <c r="AK29" i="101"/>
  <c r="O24" i="96"/>
  <c r="K66" i="78"/>
  <c r="K54" i="90"/>
  <c r="M72" i="78"/>
  <c r="V55" i="78"/>
  <c r="L66" i="78"/>
  <c r="M66" i="78" s="1"/>
  <c r="G38" i="117"/>
  <c r="O22" i="117"/>
  <c r="V97" i="117"/>
  <c r="AD22" i="101"/>
  <c r="AE22" i="101" s="1"/>
  <c r="D18" i="89"/>
  <c r="AN73" i="78"/>
  <c r="AE72" i="78"/>
  <c r="O23" i="101"/>
  <c r="P23" i="101" s="1"/>
  <c r="J73" i="78"/>
  <c r="W28" i="78"/>
  <c r="C28" i="90"/>
  <c r="D28" i="90" s="1"/>
  <c r="R27" i="90"/>
  <c r="S27" i="90" s="1"/>
  <c r="AM72" i="90"/>
  <c r="AN72" i="90" s="1"/>
  <c r="U72" i="90"/>
  <c r="V72" i="90" s="1"/>
  <c r="R72" i="90"/>
  <c r="F72" i="90"/>
  <c r="C72" i="90"/>
  <c r="D72" i="90" s="1"/>
  <c r="AG72" i="90"/>
  <c r="AH72" i="90" s="1"/>
  <c r="I72" i="90"/>
  <c r="J72" i="90" s="1"/>
  <c r="O72" i="90"/>
  <c r="P72" i="90" s="1"/>
  <c r="AD72" i="90"/>
  <c r="AA72" i="90"/>
  <c r="AB72" i="90" s="1"/>
  <c r="AM53" i="90"/>
  <c r="AN53" i="90" s="1"/>
  <c r="U53" i="90"/>
  <c r="V53" i="90" s="1"/>
  <c r="AD53" i="90"/>
  <c r="AE53" i="90" s="1"/>
  <c r="F53" i="90"/>
  <c r="G53" i="90" s="1"/>
  <c r="O53" i="90"/>
  <c r="P53" i="90" s="1"/>
  <c r="C53" i="90"/>
  <c r="D53" i="90" s="1"/>
  <c r="O25" i="90"/>
  <c r="P25" i="90" s="1"/>
  <c r="AM25" i="90"/>
  <c r="AN25" i="90" s="1"/>
  <c r="U25" i="90"/>
  <c r="V25" i="90" s="1"/>
  <c r="AD25" i="90"/>
  <c r="AE25" i="90" s="1"/>
  <c r="F25" i="90"/>
  <c r="G25" i="90" s="1"/>
  <c r="C25" i="90"/>
  <c r="D25" i="90" s="1"/>
  <c r="AM70" i="90"/>
  <c r="AN70" i="90" s="1"/>
  <c r="R70" i="90"/>
  <c r="S70" i="90" s="1"/>
  <c r="AD70" i="90"/>
  <c r="AE70" i="90" s="1"/>
  <c r="AA70" i="90"/>
  <c r="AB70" i="90" s="1"/>
  <c r="O70" i="90"/>
  <c r="P70" i="90" s="1"/>
  <c r="AG70" i="90"/>
  <c r="K51" i="90"/>
  <c r="AG51" i="90"/>
  <c r="AH51" i="90" s="1"/>
  <c r="I51" i="90"/>
  <c r="J51" i="90" s="1"/>
  <c r="R51" i="90"/>
  <c r="S51" i="90" s="1"/>
  <c r="AA51" i="90"/>
  <c r="AB51" i="90" s="1"/>
  <c r="AM51" i="90"/>
  <c r="AN51" i="90" s="1"/>
  <c r="U51" i="90"/>
  <c r="V51" i="90" s="1"/>
  <c r="AD51" i="90"/>
  <c r="AE51" i="90" s="1"/>
  <c r="F51" i="90"/>
  <c r="G51" i="90" s="1"/>
  <c r="O51" i="90"/>
  <c r="P51" i="90" s="1"/>
  <c r="AG23" i="90"/>
  <c r="AH23" i="90" s="1"/>
  <c r="I23" i="90"/>
  <c r="J23" i="90" s="1"/>
  <c r="R23" i="90"/>
  <c r="S23" i="90" s="1"/>
  <c r="AA23" i="90"/>
  <c r="AB23" i="90" s="1"/>
  <c r="O23" i="90"/>
  <c r="P23" i="90" s="1"/>
  <c r="AM23" i="90"/>
  <c r="AN23" i="90" s="1"/>
  <c r="U23" i="90"/>
  <c r="V23" i="90" s="1"/>
  <c r="AD23" i="90"/>
  <c r="AE23" i="90" s="1"/>
  <c r="F23" i="90"/>
  <c r="G23" i="90" s="1"/>
  <c r="AG68" i="90"/>
  <c r="AH68" i="90" s="1"/>
  <c r="I68" i="90"/>
  <c r="J68" i="90" s="1"/>
  <c r="R68" i="90"/>
  <c r="S68" i="90" s="1"/>
  <c r="AA68" i="90"/>
  <c r="AB68" i="90" s="1"/>
  <c r="C68" i="90"/>
  <c r="D68" i="90" s="1"/>
  <c r="AM68" i="90"/>
  <c r="AN68" i="90" s="1"/>
  <c r="U68" i="90"/>
  <c r="V68" i="90" s="1"/>
  <c r="AD68" i="90"/>
  <c r="F68" i="90"/>
  <c r="G68" i="90" s="1"/>
  <c r="AM74" i="90"/>
  <c r="AG74" i="90"/>
  <c r="U74" i="90"/>
  <c r="I74" i="90"/>
  <c r="AD74" i="90"/>
  <c r="R74" i="90"/>
  <c r="F74" i="90"/>
  <c r="AA74" i="90"/>
  <c r="O74" i="90"/>
  <c r="C74" i="90"/>
  <c r="C66" i="90"/>
  <c r="D66" i="90" s="1"/>
  <c r="O66" i="90"/>
  <c r="P66" i="90" s="1"/>
  <c r="U66" i="90"/>
  <c r="V66" i="90" s="1"/>
  <c r="F66" i="90"/>
  <c r="G66" i="90" s="1"/>
  <c r="AG66" i="90"/>
  <c r="AH66" i="90" s="1"/>
  <c r="AM66" i="90"/>
  <c r="AN66" i="90" s="1"/>
  <c r="I66" i="90"/>
  <c r="J66" i="90" s="1"/>
  <c r="AG40" i="90"/>
  <c r="AH40" i="90" s="1"/>
  <c r="I40" i="90"/>
  <c r="J40" i="90" s="1"/>
  <c r="AA40" i="90"/>
  <c r="AB40" i="90" s="1"/>
  <c r="AD40" i="90"/>
  <c r="F40" i="90"/>
  <c r="G40" i="90" s="1"/>
  <c r="C40" i="90"/>
  <c r="D40" i="90" s="1"/>
  <c r="AM40" i="90"/>
  <c r="AN40" i="90" s="1"/>
  <c r="U40" i="90"/>
  <c r="V40" i="90" s="1"/>
  <c r="R40" i="90"/>
  <c r="S40" i="90" s="1"/>
  <c r="O40" i="90"/>
  <c r="P40" i="90" s="1"/>
  <c r="AG19" i="90"/>
  <c r="AH19" i="90" s="1"/>
  <c r="I19" i="90"/>
  <c r="J19" i="90" s="1"/>
  <c r="R19" i="90"/>
  <c r="AG67" i="90"/>
  <c r="AH67" i="90" s="1"/>
  <c r="I67" i="90"/>
  <c r="J67" i="90" s="1"/>
  <c r="R67" i="90"/>
  <c r="AA67" i="90"/>
  <c r="AB67" i="90" s="1"/>
  <c r="O67" i="90"/>
  <c r="P67" i="90" s="1"/>
  <c r="C67" i="90"/>
  <c r="D67" i="90" s="1"/>
  <c r="AM67" i="90"/>
  <c r="AN67" i="90" s="1"/>
  <c r="U67" i="90"/>
  <c r="V67" i="90" s="1"/>
  <c r="AD67" i="90"/>
  <c r="AJ67" i="90" s="1"/>
  <c r="AK67" i="90" s="1"/>
  <c r="F67" i="90"/>
  <c r="G67" i="90" s="1"/>
  <c r="AD38" i="90"/>
  <c r="AE38" i="90" s="1"/>
  <c r="AM38" i="90"/>
  <c r="AN38" i="90" s="1"/>
  <c r="F70" i="90"/>
  <c r="G70" i="90" s="1"/>
  <c r="O20" i="90"/>
  <c r="P20" i="90" s="1"/>
  <c r="O68" i="90"/>
  <c r="P68" i="90" s="1"/>
  <c r="R38" i="90"/>
  <c r="S38" i="90" s="1"/>
  <c r="AA26" i="90"/>
  <c r="AB26" i="90" s="1"/>
  <c r="I70" i="90"/>
  <c r="J70" i="90" s="1"/>
  <c r="O19" i="90"/>
  <c r="P19" i="90" s="1"/>
  <c r="F19" i="90"/>
  <c r="G19" i="90" s="1"/>
  <c r="F20" i="90"/>
  <c r="G20" i="90" s="1"/>
  <c r="AD64" i="90"/>
  <c r="AE64" i="90" s="1"/>
  <c r="AA25" i="90"/>
  <c r="AB25" i="90" s="1"/>
  <c r="F61" i="90"/>
  <c r="G61" i="90" s="1"/>
  <c r="R53" i="90"/>
  <c r="S53" i="90" s="1"/>
  <c r="I25" i="90"/>
  <c r="J25" i="90" s="1"/>
  <c r="AG53" i="90"/>
  <c r="AH53" i="90" s="1"/>
  <c r="AG64" i="90"/>
  <c r="I64" i="90"/>
  <c r="J64" i="90" s="1"/>
  <c r="R64" i="90"/>
  <c r="S64" i="90" s="1"/>
  <c r="AA64" i="90"/>
  <c r="AB64" i="90" s="1"/>
  <c r="O64" i="90"/>
  <c r="P64" i="90" s="1"/>
  <c r="C64" i="90"/>
  <c r="D64" i="90" s="1"/>
  <c r="AG35" i="90"/>
  <c r="AH35" i="90" s="1"/>
  <c r="I35" i="90"/>
  <c r="J35" i="90" s="1"/>
  <c r="R35" i="90"/>
  <c r="AA35" i="90"/>
  <c r="AB35" i="90" s="1"/>
  <c r="C35" i="90"/>
  <c r="D35" i="90" s="1"/>
  <c r="AM22" i="90"/>
  <c r="AN22" i="90" s="1"/>
  <c r="AD22" i="90"/>
  <c r="AJ22" i="90" s="1"/>
  <c r="R22" i="90"/>
  <c r="S22" i="90" s="1"/>
  <c r="F22" i="90"/>
  <c r="G22" i="90" s="1"/>
  <c r="C22" i="90"/>
  <c r="D22" i="90" s="1"/>
  <c r="AM73" i="90"/>
  <c r="AN73" i="90" s="1"/>
  <c r="AG73" i="90"/>
  <c r="AH73" i="90" s="1"/>
  <c r="U73" i="90"/>
  <c r="V73" i="90" s="1"/>
  <c r="I73" i="90"/>
  <c r="J73" i="90" s="1"/>
  <c r="AD73" i="90"/>
  <c r="R73" i="90"/>
  <c r="F73" i="90"/>
  <c r="AA73" i="90"/>
  <c r="AB73" i="90" s="1"/>
  <c r="O73" i="90"/>
  <c r="P73" i="90" s="1"/>
  <c r="C73" i="90"/>
  <c r="D73" i="90" s="1"/>
  <c r="AG63" i="90"/>
  <c r="AH63" i="90" s="1"/>
  <c r="I63" i="90"/>
  <c r="J63" i="90" s="1"/>
  <c r="R63" i="90"/>
  <c r="X63" i="90" s="1"/>
  <c r="AA63" i="90"/>
  <c r="AB63" i="90" s="1"/>
  <c r="O63" i="90"/>
  <c r="P63" i="90" s="1"/>
  <c r="C63" i="90"/>
  <c r="D63" i="90" s="1"/>
  <c r="AM31" i="90"/>
  <c r="AN31" i="90" s="1"/>
  <c r="U31" i="90"/>
  <c r="V31" i="90" s="1"/>
  <c r="AD31" i="90"/>
  <c r="AE31" i="90" s="1"/>
  <c r="F31" i="90"/>
  <c r="G31" i="90" s="1"/>
  <c r="AG31" i="90"/>
  <c r="I31" i="90"/>
  <c r="J31" i="90" s="1"/>
  <c r="R31" i="90"/>
  <c r="S31" i="90" s="1"/>
  <c r="AA31" i="90"/>
  <c r="AB31" i="90" s="1"/>
  <c r="AG34" i="90"/>
  <c r="AH34" i="90" s="1"/>
  <c r="F34" i="90"/>
  <c r="G34" i="90" s="1"/>
  <c r="AM34" i="90"/>
  <c r="AN34" i="90" s="1"/>
  <c r="C34" i="90"/>
  <c r="D34" i="90" s="1"/>
  <c r="AA34" i="90"/>
  <c r="AB34" i="90" s="1"/>
  <c r="U34" i="90"/>
  <c r="O34" i="90"/>
  <c r="P34" i="90" s="1"/>
  <c r="AM41" i="90"/>
  <c r="AN41" i="90" s="1"/>
  <c r="AG41" i="90"/>
  <c r="AH41" i="90" s="1"/>
  <c r="U41" i="90"/>
  <c r="I41" i="90"/>
  <c r="J41" i="90" s="1"/>
  <c r="AD41" i="90"/>
  <c r="AE41" i="90" s="1"/>
  <c r="R41" i="90"/>
  <c r="S41" i="90" s="1"/>
  <c r="F41" i="90"/>
  <c r="AA41" i="90"/>
  <c r="AB41" i="90" s="1"/>
  <c r="O41" i="90"/>
  <c r="P41" i="90" s="1"/>
  <c r="C41" i="90"/>
  <c r="D41" i="90" s="1"/>
  <c r="C61" i="90"/>
  <c r="D61" i="90" s="1"/>
  <c r="AG61" i="90"/>
  <c r="AH61" i="90" s="1"/>
  <c r="I61" i="90"/>
  <c r="R61" i="90"/>
  <c r="X61" i="90" s="1"/>
  <c r="AA61" i="90"/>
  <c r="AB61" i="90" s="1"/>
  <c r="AM29" i="90"/>
  <c r="AN29" i="90" s="1"/>
  <c r="U29" i="90"/>
  <c r="V29" i="90" s="1"/>
  <c r="AD29" i="90"/>
  <c r="AE29" i="90" s="1"/>
  <c r="F29" i="90"/>
  <c r="G29" i="90" s="1"/>
  <c r="C29" i="90"/>
  <c r="D29" i="90" s="1"/>
  <c r="AG29" i="90"/>
  <c r="AH29" i="90" s="1"/>
  <c r="I29" i="90"/>
  <c r="J29" i="90" s="1"/>
  <c r="R29" i="90"/>
  <c r="S29" i="90" s="1"/>
  <c r="AA29" i="90"/>
  <c r="AB29" i="90" s="1"/>
  <c r="C70" i="90"/>
  <c r="D70" i="90" s="1"/>
  <c r="AA19" i="90"/>
  <c r="AB19" i="90" s="1"/>
  <c r="AD66" i="90"/>
  <c r="AE66" i="90" s="1"/>
  <c r="C23" i="90"/>
  <c r="D23" i="90" s="1"/>
  <c r="O35" i="90"/>
  <c r="P35" i="90" s="1"/>
  <c r="R34" i="90"/>
  <c r="AA22" i="90"/>
  <c r="AB22" i="90" s="1"/>
  <c r="R66" i="90"/>
  <c r="S66" i="90" s="1"/>
  <c r="C19" i="90"/>
  <c r="D19" i="90" s="1"/>
  <c r="O29" i="90"/>
  <c r="P29" i="90" s="1"/>
  <c r="O22" i="90"/>
  <c r="P22" i="90" s="1"/>
  <c r="F35" i="90"/>
  <c r="G35" i="90" s="1"/>
  <c r="AD19" i="90"/>
  <c r="AM63" i="90"/>
  <c r="AN63" i="90" s="1"/>
  <c r="R56" i="90"/>
  <c r="AM61" i="90"/>
  <c r="AN61" i="90" s="1"/>
  <c r="AI58" i="90"/>
  <c r="C58" i="90"/>
  <c r="D58" i="90" s="1"/>
  <c r="AD58" i="90"/>
  <c r="AE58" i="90" s="1"/>
  <c r="I58" i="90"/>
  <c r="J58" i="90" s="1"/>
  <c r="F58" i="90"/>
  <c r="G58" i="90" s="1"/>
  <c r="O58" i="90"/>
  <c r="P58" i="90" s="1"/>
  <c r="AI26" i="90"/>
  <c r="AG26" i="90"/>
  <c r="AH26" i="90" s="1"/>
  <c r="I26" i="90"/>
  <c r="U26" i="90"/>
  <c r="V26" i="90" s="1"/>
  <c r="AD26" i="90"/>
  <c r="AE26" i="90" s="1"/>
  <c r="AM26" i="90"/>
  <c r="AN26" i="90" s="1"/>
  <c r="R26" i="90"/>
  <c r="AM56" i="90"/>
  <c r="AN56" i="90" s="1"/>
  <c r="U56" i="90"/>
  <c r="V56" i="90" s="1"/>
  <c r="AD56" i="90"/>
  <c r="AE56" i="90" s="1"/>
  <c r="F56" i="90"/>
  <c r="AG24" i="90"/>
  <c r="AH24" i="90" s="1"/>
  <c r="I24" i="90"/>
  <c r="J24" i="90" s="1"/>
  <c r="R24" i="90"/>
  <c r="C24" i="90"/>
  <c r="D24" i="90" s="1"/>
  <c r="AM24" i="90"/>
  <c r="AN24" i="90" s="1"/>
  <c r="U24" i="90"/>
  <c r="V24" i="90" s="1"/>
  <c r="AD24" i="90"/>
  <c r="F24" i="90"/>
  <c r="G24" i="90" s="1"/>
  <c r="AI38" i="90"/>
  <c r="F38" i="90"/>
  <c r="G38" i="90" s="1"/>
  <c r="AA38" i="90"/>
  <c r="AB38" i="90" s="1"/>
  <c r="C38" i="90"/>
  <c r="D38" i="90" s="1"/>
  <c r="U38" i="90"/>
  <c r="V38" i="90" s="1"/>
  <c r="AG38" i="90"/>
  <c r="AH38" i="90" s="1"/>
  <c r="AG20" i="90"/>
  <c r="AH20" i="90" s="1"/>
  <c r="I20" i="90"/>
  <c r="J20" i="90" s="1"/>
  <c r="R20" i="90"/>
  <c r="S20" i="90" s="1"/>
  <c r="AA20" i="90"/>
  <c r="AB20" i="90" s="1"/>
  <c r="C20" i="90"/>
  <c r="D20" i="90" s="1"/>
  <c r="AG52" i="90"/>
  <c r="AH52" i="90" s="1"/>
  <c r="I52" i="90"/>
  <c r="J52" i="90" s="1"/>
  <c r="R52" i="90"/>
  <c r="S52" i="90" s="1"/>
  <c r="AA52" i="90"/>
  <c r="AB52" i="90" s="1"/>
  <c r="C52" i="90"/>
  <c r="D52" i="90" s="1"/>
  <c r="AM52" i="90"/>
  <c r="AN52" i="90" s="1"/>
  <c r="U52" i="90"/>
  <c r="V52" i="90" s="1"/>
  <c r="AD52" i="90"/>
  <c r="AE52" i="90" s="1"/>
  <c r="F52" i="90"/>
  <c r="G52" i="90" s="1"/>
  <c r="W32" i="90"/>
  <c r="AM32" i="90"/>
  <c r="AN32" i="90" s="1"/>
  <c r="U32" i="90"/>
  <c r="V32" i="90" s="1"/>
  <c r="AD32" i="90"/>
  <c r="AE32" i="90" s="1"/>
  <c r="F32" i="90"/>
  <c r="G32" i="90" s="1"/>
  <c r="O32" i="90"/>
  <c r="P32" i="90" s="1"/>
  <c r="AG32" i="90"/>
  <c r="AH32" i="90" s="1"/>
  <c r="I32" i="90"/>
  <c r="J32" i="90" s="1"/>
  <c r="R32" i="90"/>
  <c r="S32" i="90" s="1"/>
  <c r="AA32" i="90"/>
  <c r="AB32" i="90" s="1"/>
  <c r="AA58" i="90"/>
  <c r="AB58" i="90" s="1"/>
  <c r="C31" i="90"/>
  <c r="D31" i="90" s="1"/>
  <c r="O56" i="90"/>
  <c r="P56" i="90" s="1"/>
  <c r="U70" i="90"/>
  <c r="C56" i="90"/>
  <c r="D56" i="90" s="1"/>
  <c r="AA66" i="90"/>
  <c r="AB66" i="90" s="1"/>
  <c r="U58" i="90"/>
  <c r="V58" i="90" s="1"/>
  <c r="O26" i="90"/>
  <c r="P26" i="90" s="1"/>
  <c r="O31" i="90"/>
  <c r="P31" i="90" s="1"/>
  <c r="AD34" i="90"/>
  <c r="F63" i="90"/>
  <c r="G63" i="90" s="1"/>
  <c r="AD35" i="90"/>
  <c r="AE35" i="90" s="1"/>
  <c r="U19" i="90"/>
  <c r="V19" i="90" s="1"/>
  <c r="F64" i="90"/>
  <c r="G64" i="90" s="1"/>
  <c r="AD20" i="90"/>
  <c r="AE20" i="90" s="1"/>
  <c r="U64" i="90"/>
  <c r="AM20" i="90"/>
  <c r="AN20" i="90" s="1"/>
  <c r="O61" i="90"/>
  <c r="P61" i="90" s="1"/>
  <c r="AA53" i="90"/>
  <c r="AB53" i="90" s="1"/>
  <c r="R25" i="90"/>
  <c r="AD61" i="90"/>
  <c r="AE61" i="90" s="1"/>
  <c r="I53" i="90"/>
  <c r="J53" i="90" s="1"/>
  <c r="AG25" i="90"/>
  <c r="AH25" i="90" s="1"/>
  <c r="AM39" i="90"/>
  <c r="AN39" i="90" s="1"/>
  <c r="AG39" i="90"/>
  <c r="AH39" i="90" s="1"/>
  <c r="U39" i="90"/>
  <c r="V39" i="90" s="1"/>
  <c r="I39" i="90"/>
  <c r="J39" i="90" s="1"/>
  <c r="AD39" i="90"/>
  <c r="AE39" i="90" s="1"/>
  <c r="R39" i="90"/>
  <c r="F39" i="90"/>
  <c r="G39" i="90" s="1"/>
  <c r="AA39" i="90"/>
  <c r="AB39" i="90" s="1"/>
  <c r="O39" i="90"/>
  <c r="P39" i="90" s="1"/>
  <c r="C39" i="90"/>
  <c r="D39" i="90" s="1"/>
  <c r="H29" i="118"/>
  <c r="O29" i="118"/>
  <c r="V29" i="118"/>
  <c r="J30" i="112"/>
  <c r="G30" i="112"/>
  <c r="G22" i="109"/>
  <c r="J22" i="109"/>
  <c r="G36" i="108"/>
  <c r="D36" i="108"/>
  <c r="D18" i="114"/>
  <c r="G18" i="114"/>
  <c r="V57" i="117"/>
  <c r="U57" i="117"/>
  <c r="G57" i="117"/>
  <c r="O57" i="117"/>
  <c r="N85" i="117"/>
  <c r="O85" i="117"/>
  <c r="U85" i="117"/>
  <c r="G85" i="117"/>
  <c r="AR36" i="101"/>
  <c r="AC36" i="101"/>
  <c r="N36" i="101"/>
  <c r="AK36" i="101"/>
  <c r="K36" i="101"/>
  <c r="J36" i="101"/>
  <c r="AH36" i="101"/>
  <c r="V36" i="101"/>
  <c r="O22" i="94"/>
  <c r="N22" i="94"/>
  <c r="H22" i="94"/>
  <c r="D38" i="89"/>
  <c r="G38" i="89"/>
  <c r="G30" i="101"/>
  <c r="Y30" i="101"/>
  <c r="K30" i="101"/>
  <c r="AK30" i="101"/>
  <c r="D30" i="101"/>
  <c r="AN30" i="101"/>
  <c r="V36" i="94"/>
  <c r="U36" i="94"/>
  <c r="O36" i="94"/>
  <c r="AI64" i="90"/>
  <c r="W64" i="90"/>
  <c r="AN64" i="90"/>
  <c r="O27" i="99"/>
  <c r="P27" i="99" s="1"/>
  <c r="L27" i="99"/>
  <c r="M27" i="99" s="1"/>
  <c r="AK27" i="99"/>
  <c r="AO27" i="99"/>
  <c r="Z27" i="99"/>
  <c r="K27" i="99"/>
  <c r="V27" i="99"/>
  <c r="AA27" i="99"/>
  <c r="AB27" i="99" s="1"/>
  <c r="AH27" i="99"/>
  <c r="AS27" i="99"/>
  <c r="AT27" i="99" s="1"/>
  <c r="D27" i="99"/>
  <c r="AC27" i="99"/>
  <c r="S25" i="101"/>
  <c r="G25" i="101"/>
  <c r="AN25" i="101"/>
  <c r="AR25" i="101"/>
  <c r="AS25" i="101"/>
  <c r="AT25" i="101" s="1"/>
  <c r="L25" i="101"/>
  <c r="M25" i="101" s="1"/>
  <c r="AC25" i="101"/>
  <c r="Z25" i="101"/>
  <c r="K25" i="101"/>
  <c r="AO25" i="101"/>
  <c r="K61" i="90"/>
  <c r="O36" i="118"/>
  <c r="V36" i="118"/>
  <c r="H36" i="118"/>
  <c r="AR25" i="99"/>
  <c r="AD25" i="99"/>
  <c r="AE25" i="99" s="1"/>
  <c r="U30" i="96"/>
  <c r="V30" i="96"/>
  <c r="H30" i="96"/>
  <c r="O30" i="96"/>
  <c r="G17" i="72"/>
  <c r="U17" i="72"/>
  <c r="V82" i="117"/>
  <c r="G82" i="117"/>
  <c r="N82" i="117"/>
  <c r="O35" i="99"/>
  <c r="P35" i="99" s="1"/>
  <c r="AA35" i="99"/>
  <c r="AB35" i="99" s="1"/>
  <c r="AR35" i="99"/>
  <c r="K35" i="99"/>
  <c r="Y35" i="99"/>
  <c r="AS35" i="99"/>
  <c r="AT35" i="99" s="1"/>
  <c r="S35" i="99"/>
  <c r="J35" i="99"/>
  <c r="N35" i="99"/>
  <c r="U96" i="117"/>
  <c r="N96" i="117"/>
  <c r="AC20" i="99"/>
  <c r="D20" i="99"/>
  <c r="L20" i="99"/>
  <c r="M20" i="99" s="1"/>
  <c r="AK20" i="99"/>
  <c r="AH20" i="99"/>
  <c r="AP20" i="99"/>
  <c r="AQ20" i="99" s="1"/>
  <c r="G20" i="99"/>
  <c r="AR20" i="99"/>
  <c r="N25" i="72"/>
  <c r="H25" i="72"/>
  <c r="O17" i="118"/>
  <c r="V17" i="118"/>
  <c r="J24" i="110"/>
  <c r="G24" i="110"/>
  <c r="G20" i="108"/>
  <c r="D20" i="108"/>
  <c r="J34" i="114"/>
  <c r="D34" i="114"/>
  <c r="G34" i="114"/>
  <c r="N99" i="117"/>
  <c r="V99" i="117"/>
  <c r="H99" i="117"/>
  <c r="G99" i="117"/>
  <c r="O99" i="117"/>
  <c r="O36" i="117"/>
  <c r="V36" i="117"/>
  <c r="G32" i="117"/>
  <c r="N32" i="117"/>
  <c r="O32" i="117"/>
  <c r="D26" i="101"/>
  <c r="AN26" i="101"/>
  <c r="J26" i="101"/>
  <c r="G26" i="101"/>
  <c r="Z26" i="101"/>
  <c r="L26" i="101"/>
  <c r="M26" i="101" s="1"/>
  <c r="AD26" i="101"/>
  <c r="AE26" i="101" s="1"/>
  <c r="Y26" i="101"/>
  <c r="AK26" i="101"/>
  <c r="V26" i="101"/>
  <c r="D20" i="101"/>
  <c r="J20" i="101"/>
  <c r="AD20" i="101"/>
  <c r="AE20" i="101" s="1"/>
  <c r="N20" i="101"/>
  <c r="K20" i="101"/>
  <c r="V20" i="101"/>
  <c r="AC20" i="101"/>
  <c r="O17" i="96"/>
  <c r="U17" i="96"/>
  <c r="U54" i="117"/>
  <c r="H54" i="117"/>
  <c r="H31" i="96"/>
  <c r="V31" i="96"/>
  <c r="V23" i="94"/>
  <c r="N23" i="94"/>
  <c r="H23" i="94"/>
  <c r="W35" i="90"/>
  <c r="AI35" i="90"/>
  <c r="AI22" i="90"/>
  <c r="AH22" i="90"/>
  <c r="K22" i="90"/>
  <c r="W22" i="90"/>
  <c r="V17" i="101"/>
  <c r="AA17" i="101"/>
  <c r="AB17" i="101" s="1"/>
  <c r="AH17" i="101"/>
  <c r="AC17" i="101"/>
  <c r="Z17" i="101"/>
  <c r="AO17" i="101"/>
  <c r="O17" i="101"/>
  <c r="P17" i="101" s="1"/>
  <c r="AP17" i="101"/>
  <c r="AQ17" i="101" s="1"/>
  <c r="AD17" i="101"/>
  <c r="AE17" i="101" s="1"/>
  <c r="L17" i="101"/>
  <c r="M17" i="101" s="1"/>
  <c r="Y23" i="99"/>
  <c r="O23" i="99"/>
  <c r="P23" i="99" s="1"/>
  <c r="V23" i="99"/>
  <c r="AH23" i="99"/>
  <c r="J23" i="99"/>
  <c r="AK23" i="99"/>
  <c r="S23" i="99"/>
  <c r="AC23" i="99"/>
  <c r="D23" i="99"/>
  <c r="AA23" i="99"/>
  <c r="AB23" i="99" s="1"/>
  <c r="N23" i="99"/>
  <c r="G23" i="99"/>
  <c r="G34" i="94"/>
  <c r="N34" i="94"/>
  <c r="O38" i="94"/>
  <c r="V38" i="94"/>
  <c r="AJ41" i="90"/>
  <c r="W29" i="90"/>
  <c r="AD18" i="99"/>
  <c r="AE18" i="99" s="1"/>
  <c r="L18" i="99"/>
  <c r="M18" i="99" s="1"/>
  <c r="AS18" i="99"/>
  <c r="AT18" i="99" s="1"/>
  <c r="J18" i="99"/>
  <c r="AC18" i="99"/>
  <c r="V54" i="117"/>
  <c r="AD35" i="99"/>
  <c r="AE35" i="99" s="1"/>
  <c r="G23" i="113"/>
  <c r="G100" i="117"/>
  <c r="V49" i="117"/>
  <c r="G27" i="117"/>
  <c r="D18" i="101"/>
  <c r="L18" i="101"/>
  <c r="M18" i="101" s="1"/>
  <c r="H28" i="118"/>
  <c r="AC25" i="99"/>
  <c r="J25" i="99"/>
  <c r="Z25" i="99"/>
  <c r="AI73" i="90"/>
  <c r="K34" i="90"/>
  <c r="H38" i="72"/>
  <c r="N36" i="94"/>
  <c r="U18" i="96"/>
  <c r="U38" i="94"/>
  <c r="G23" i="94"/>
  <c r="K64" i="90"/>
  <c r="AR27" i="99"/>
  <c r="AO23" i="99"/>
  <c r="H82" i="117"/>
  <c r="H36" i="117"/>
  <c r="S26" i="101"/>
  <c r="AP25" i="101"/>
  <c r="AQ25" i="101" s="1"/>
  <c r="D17" i="101"/>
  <c r="AN20" i="99"/>
  <c r="H85" i="117"/>
  <c r="U99" i="117"/>
  <c r="J36" i="108"/>
  <c r="U38" i="72"/>
  <c r="AP18" i="99"/>
  <c r="AQ18" i="99" s="1"/>
  <c r="V22" i="94"/>
  <c r="H86" i="117"/>
  <c r="S17" i="101"/>
  <c r="S20" i="99"/>
  <c r="V35" i="99"/>
  <c r="AH35" i="99"/>
  <c r="V25" i="118"/>
  <c r="O25" i="118"/>
  <c r="O31" i="118"/>
  <c r="V31" i="118"/>
  <c r="U21" i="117"/>
  <c r="O21" i="117"/>
  <c r="U36" i="117"/>
  <c r="G21" i="117"/>
  <c r="D23" i="113"/>
  <c r="O100" i="117"/>
  <c r="G49" i="117"/>
  <c r="U49" i="117"/>
  <c r="O27" i="117"/>
  <c r="G31" i="96"/>
  <c r="U34" i="94"/>
  <c r="O23" i="94"/>
  <c r="N27" i="99"/>
  <c r="AN23" i="99"/>
  <c r="H57" i="117"/>
  <c r="AA26" i="101"/>
  <c r="AB26" i="101" s="1"/>
  <c r="Y17" i="101"/>
  <c r="O20" i="99"/>
  <c r="P20" i="99" s="1"/>
  <c r="S35" i="90"/>
  <c r="V37" i="117"/>
  <c r="N31" i="96"/>
  <c r="N25" i="101"/>
  <c r="U22" i="96"/>
  <c r="AC30" i="101"/>
  <c r="G36" i="94"/>
  <c r="N54" i="117"/>
  <c r="H21" i="117"/>
  <c r="H32" i="117"/>
  <c r="AN36" i="101"/>
  <c r="D24" i="110"/>
  <c r="O30" i="101"/>
  <c r="P30" i="101" s="1"/>
  <c r="AP36" i="101"/>
  <c r="AQ36" i="101" s="1"/>
  <c r="G39" i="113"/>
  <c r="D39" i="113"/>
  <c r="U53" i="117"/>
  <c r="V53" i="117"/>
  <c r="H95" i="117"/>
  <c r="O95" i="117"/>
  <c r="V95" i="117"/>
  <c r="U95" i="117"/>
  <c r="U86" i="117"/>
  <c r="G86" i="117"/>
  <c r="V86" i="117"/>
  <c r="G37" i="117"/>
  <c r="O37" i="117"/>
  <c r="J16" i="107"/>
  <c r="G16" i="107"/>
  <c r="D39" i="107"/>
  <c r="G39" i="107"/>
  <c r="J39" i="107"/>
  <c r="AS26" i="101"/>
  <c r="AT26" i="101" s="1"/>
  <c r="AO26" i="101"/>
  <c r="O26" i="101"/>
  <c r="P26" i="101" s="1"/>
  <c r="AH26" i="101"/>
  <c r="D36" i="101"/>
  <c r="AD36" i="101"/>
  <c r="AE36" i="101" s="1"/>
  <c r="AO36" i="101"/>
  <c r="AA36" i="101"/>
  <c r="AB36" i="101" s="1"/>
  <c r="Z36" i="101"/>
  <c r="AS36" i="101"/>
  <c r="AT36" i="101" s="1"/>
  <c r="Y36" i="101"/>
  <c r="O36" i="101"/>
  <c r="P36" i="101" s="1"/>
  <c r="L20" i="101"/>
  <c r="M20" i="101" s="1"/>
  <c r="Y20" i="101"/>
  <c r="AH20" i="101"/>
  <c r="G20" i="101"/>
  <c r="AO20" i="101"/>
  <c r="AS20" i="101"/>
  <c r="AT20" i="101" s="1"/>
  <c r="Z20" i="101"/>
  <c r="AN20" i="101"/>
  <c r="AK20" i="101"/>
  <c r="O20" i="101"/>
  <c r="P20" i="101" s="1"/>
  <c r="AR20" i="101"/>
  <c r="G39" i="96"/>
  <c r="H39" i="96"/>
  <c r="V39" i="96"/>
  <c r="V17" i="96"/>
  <c r="G17" i="96"/>
  <c r="H17" i="96"/>
  <c r="N17" i="96"/>
  <c r="J19" i="89"/>
  <c r="G19" i="89"/>
  <c r="AR30" i="101"/>
  <c r="AH30" i="101"/>
  <c r="AO30" i="101"/>
  <c r="V30" i="101"/>
  <c r="AS30" i="101"/>
  <c r="AA30" i="101"/>
  <c r="AB30" i="101" s="1"/>
  <c r="S30" i="101"/>
  <c r="Z30" i="101"/>
  <c r="AT30" i="101"/>
  <c r="J30" i="101"/>
  <c r="AP30" i="101"/>
  <c r="AQ30" i="101" s="1"/>
  <c r="AS23" i="99"/>
  <c r="AT23" i="99" s="1"/>
  <c r="AD23" i="99"/>
  <c r="AE23" i="99" s="1"/>
  <c r="AP23" i="99"/>
  <c r="AQ23" i="99" s="1"/>
  <c r="J34" i="90"/>
  <c r="V22" i="72"/>
  <c r="H22" i="72"/>
  <c r="AK25" i="101"/>
  <c r="Y25" i="101"/>
  <c r="AD25" i="101"/>
  <c r="AE25" i="101" s="1"/>
  <c r="J25" i="101"/>
  <c r="D25" i="101"/>
  <c r="V25" i="101"/>
  <c r="AI41" i="90"/>
  <c r="G41" i="90"/>
  <c r="AI61" i="90"/>
  <c r="S18" i="99"/>
  <c r="N18" i="99"/>
  <c r="AH18" i="99"/>
  <c r="Y18" i="99"/>
  <c r="AA18" i="99"/>
  <c r="AB18" i="99" s="1"/>
  <c r="O18" i="99"/>
  <c r="P18" i="99" s="1"/>
  <c r="AN18" i="99"/>
  <c r="V18" i="99"/>
  <c r="AO18" i="99"/>
  <c r="Z18" i="99"/>
  <c r="G18" i="99"/>
  <c r="AP35" i="99"/>
  <c r="AQ35" i="99" s="1"/>
  <c r="AO35" i="99"/>
  <c r="D35" i="99"/>
  <c r="L35" i="99"/>
  <c r="M35" i="99" s="1"/>
  <c r="Z35" i="99"/>
  <c r="AC35" i="99"/>
  <c r="G35" i="99"/>
  <c r="V20" i="99"/>
  <c r="N20" i="99"/>
  <c r="J20" i="99"/>
  <c r="AA20" i="99"/>
  <c r="AB20" i="99" s="1"/>
  <c r="K20" i="99"/>
  <c r="AD20" i="99"/>
  <c r="AE20" i="99" s="1"/>
  <c r="O22" i="96"/>
  <c r="H22" i="96"/>
  <c r="V25" i="72"/>
  <c r="U25" i="72"/>
  <c r="G25" i="72"/>
  <c r="J18" i="114"/>
  <c r="D30" i="114"/>
  <c r="G30" i="114"/>
  <c r="H17" i="118"/>
  <c r="U32" i="117"/>
  <c r="AP26" i="101"/>
  <c r="AQ26" i="101" s="1"/>
  <c r="N26" i="101"/>
  <c r="AC26" i="101"/>
  <c r="AN35" i="90"/>
  <c r="V85" i="117"/>
  <c r="V32" i="117"/>
  <c r="S36" i="101"/>
  <c r="L36" i="101"/>
  <c r="M36" i="101" s="1"/>
  <c r="V63" i="90"/>
  <c r="D30" i="112"/>
  <c r="D22" i="109"/>
  <c r="J20" i="108"/>
  <c r="U22" i="94"/>
  <c r="K41" i="90"/>
  <c r="O22" i="72"/>
  <c r="K18" i="99"/>
  <c r="AK18" i="99"/>
  <c r="AR18" i="99"/>
  <c r="N37" i="117"/>
  <c r="N30" i="101"/>
  <c r="AA20" i="101"/>
  <c r="AB20" i="101" s="1"/>
  <c r="AR26" i="101"/>
  <c r="AA25" i="101"/>
  <c r="AB25" i="101" s="1"/>
  <c r="J38" i="89"/>
  <c r="N39" i="96"/>
  <c r="U37" i="117"/>
  <c r="O86" i="117"/>
  <c r="G95" i="117"/>
  <c r="N53" i="117"/>
  <c r="G36" i="101"/>
  <c r="K26" i="101"/>
  <c r="AN35" i="99"/>
  <c r="O39" i="96"/>
  <c r="Z20" i="99"/>
  <c r="AO20" i="99"/>
  <c r="H20" i="118"/>
  <c r="S33" i="102"/>
  <c r="AI33" i="102"/>
  <c r="K33" i="102"/>
  <c r="AS33" i="101"/>
  <c r="AT33" i="101" s="1"/>
  <c r="L33" i="101"/>
  <c r="M33" i="101" s="1"/>
  <c r="AH33" i="101"/>
  <c r="G90" i="117"/>
  <c r="U83" i="117"/>
  <c r="G66" i="117"/>
  <c r="O26" i="117"/>
  <c r="U26" i="117"/>
  <c r="K21" i="101"/>
  <c r="Z21" i="101"/>
  <c r="N21" i="101"/>
  <c r="S27" i="101"/>
  <c r="J27" i="101"/>
  <c r="D18" i="112"/>
  <c r="L61" i="78"/>
  <c r="M61" i="78" s="1"/>
  <c r="V20" i="78"/>
  <c r="AH20" i="78"/>
  <c r="AA36" i="99"/>
  <c r="AB36" i="99" s="1"/>
  <c r="W20" i="78"/>
  <c r="S20" i="78"/>
  <c r="Y34" i="99"/>
  <c r="J24" i="108"/>
  <c r="G24" i="108"/>
  <c r="G38" i="114"/>
  <c r="D38" i="114"/>
  <c r="AM30" i="102"/>
  <c r="AN30" i="102" s="1"/>
  <c r="AL30" i="102"/>
  <c r="G30" i="102"/>
  <c r="AB30" i="102"/>
  <c r="J30" i="102"/>
  <c r="K30" i="102"/>
  <c r="X30" i="102"/>
  <c r="Y30" i="102" s="1"/>
  <c r="S30" i="102"/>
  <c r="D33" i="101"/>
  <c r="O33" i="101"/>
  <c r="P33" i="101" s="1"/>
  <c r="AD31" i="101"/>
  <c r="AE31" i="101" s="1"/>
  <c r="D31" i="101"/>
  <c r="AK31" i="101"/>
  <c r="O33" i="96"/>
  <c r="U33" i="96"/>
  <c r="AN61" i="78"/>
  <c r="AJ61" i="78"/>
  <c r="AK61" i="78" s="1"/>
  <c r="J61" i="78"/>
  <c r="G61" i="78"/>
  <c r="AE61" i="78"/>
  <c r="D61" i="78"/>
  <c r="K61" i="78"/>
  <c r="W61" i="78"/>
  <c r="AN71" i="78"/>
  <c r="W71" i="78"/>
  <c r="L71" i="78"/>
  <c r="J71" i="78"/>
  <c r="AE71" i="78"/>
  <c r="AN54" i="78"/>
  <c r="V54" i="78"/>
  <c r="AB54" i="78"/>
  <c r="J35" i="101"/>
  <c r="AP35" i="101"/>
  <c r="AQ35" i="101" s="1"/>
  <c r="AR35" i="101"/>
  <c r="AS39" i="99"/>
  <c r="AT39" i="99" s="1"/>
  <c r="AO39" i="99"/>
  <c r="V39" i="99"/>
  <c r="O39" i="99"/>
  <c r="P39" i="99" s="1"/>
  <c r="AA39" i="99"/>
  <c r="AB39" i="99" s="1"/>
  <c r="J39" i="99"/>
  <c r="N39" i="99"/>
  <c r="L39" i="99"/>
  <c r="N36" i="96"/>
  <c r="H36" i="96"/>
  <c r="K62" i="78"/>
  <c r="G62" i="78"/>
  <c r="AE62" i="78"/>
  <c r="X62" i="78"/>
  <c r="Y62" i="78" s="1"/>
  <c r="P62" i="78"/>
  <c r="AB62" i="78"/>
  <c r="V62" i="78"/>
  <c r="V52" i="78"/>
  <c r="AH52" i="78"/>
  <c r="V34" i="72"/>
  <c r="N34" i="72"/>
  <c r="AI20" i="90"/>
  <c r="W52" i="90"/>
  <c r="AI52" i="90"/>
  <c r="P52" i="90"/>
  <c r="K52" i="90"/>
  <c r="AI32" i="90"/>
  <c r="D32" i="90"/>
  <c r="K32" i="90"/>
  <c r="AI20" i="78"/>
  <c r="J20" i="78"/>
  <c r="X20" i="78"/>
  <c r="Y20" i="78" s="1"/>
  <c r="D20" i="78"/>
  <c r="AB20" i="78"/>
  <c r="M20" i="78"/>
  <c r="AE20" i="78"/>
  <c r="P20" i="78"/>
  <c r="AN20" i="78"/>
  <c r="P58" i="78"/>
  <c r="D58" i="78"/>
  <c r="M58" i="78"/>
  <c r="X58" i="78"/>
  <c r="Y58" i="78" s="1"/>
  <c r="J58" i="78"/>
  <c r="AN58" i="78"/>
  <c r="AB58" i="78"/>
  <c r="AE58" i="78"/>
  <c r="G58" i="78"/>
  <c r="K58" i="78"/>
  <c r="S58" i="78"/>
  <c r="N32" i="94"/>
  <c r="V32" i="94"/>
  <c r="AK19" i="101"/>
  <c r="AA19" i="101"/>
  <c r="AB19" i="101" s="1"/>
  <c r="D19" i="101"/>
  <c r="AP19" i="101"/>
  <c r="AQ19" i="101" s="1"/>
  <c r="Z19" i="101"/>
  <c r="J19" i="101"/>
  <c r="O19" i="101"/>
  <c r="P19" i="101" s="1"/>
  <c r="G19" i="101"/>
  <c r="V36" i="99"/>
  <c r="D36" i="99"/>
  <c r="S36" i="99"/>
  <c r="J36" i="99"/>
  <c r="AK36" i="99"/>
  <c r="L36" i="99"/>
  <c r="M36" i="99" s="1"/>
  <c r="AP36" i="99"/>
  <c r="AQ36" i="99" s="1"/>
  <c r="Y36" i="99"/>
  <c r="AD36" i="99"/>
  <c r="AE36" i="99" s="1"/>
  <c r="AH36" i="99"/>
  <c r="AO36" i="99"/>
  <c r="K36" i="99"/>
  <c r="AN36" i="99"/>
  <c r="AR36" i="99"/>
  <c r="N20" i="96"/>
  <c r="G20" i="96"/>
  <c r="H20" i="96"/>
  <c r="V35" i="72"/>
  <c r="G35" i="72"/>
  <c r="H35" i="72"/>
  <c r="U35" i="72"/>
  <c r="U16" i="72"/>
  <c r="N16" i="72"/>
  <c r="AN19" i="99"/>
  <c r="AD19" i="99"/>
  <c r="AE19" i="99" s="1"/>
  <c r="Y19" i="99"/>
  <c r="L17" i="99"/>
  <c r="M17" i="99" s="1"/>
  <c r="Y17" i="99"/>
  <c r="AK17" i="99"/>
  <c r="J17" i="99"/>
  <c r="AS17" i="99"/>
  <c r="AT17" i="99" s="1"/>
  <c r="AN17" i="99"/>
  <c r="AC17" i="99"/>
  <c r="V17" i="99"/>
  <c r="Z17" i="99"/>
  <c r="O34" i="99"/>
  <c r="P34" i="99" s="1"/>
  <c r="K34" i="99"/>
  <c r="V34" i="99"/>
  <c r="AH34" i="99"/>
  <c r="AN34" i="99"/>
  <c r="AR34" i="99"/>
  <c r="AC34" i="99"/>
  <c r="S34" i="99"/>
  <c r="AP34" i="99"/>
  <c r="AQ34" i="99" s="1"/>
  <c r="G34" i="99"/>
  <c r="J34" i="99"/>
  <c r="AS34" i="99"/>
  <c r="AT34" i="99" s="1"/>
  <c r="Z34" i="99"/>
  <c r="AD34" i="99"/>
  <c r="AE34" i="99" s="1"/>
  <c r="O29" i="72"/>
  <c r="V29" i="72"/>
  <c r="H29" i="72"/>
  <c r="N29" i="72"/>
  <c r="U29" i="72"/>
  <c r="G29" i="72"/>
  <c r="H90" i="117"/>
  <c r="U90" i="117"/>
  <c r="O83" i="117"/>
  <c r="V83" i="117"/>
  <c r="V66" i="117"/>
  <c r="N66" i="117"/>
  <c r="G26" i="117"/>
  <c r="G25" i="107"/>
  <c r="G21" i="101"/>
  <c r="S21" i="101"/>
  <c r="G34" i="112"/>
  <c r="J30" i="114"/>
  <c r="J28" i="110"/>
  <c r="G26" i="109"/>
  <c r="O35" i="94"/>
  <c r="AC36" i="99"/>
  <c r="AD39" i="99"/>
  <c r="AE39" i="99" s="1"/>
  <c r="AH30" i="102"/>
  <c r="O32" i="94"/>
  <c r="H55" i="117"/>
  <c r="AO19" i="101"/>
  <c r="AK35" i="101"/>
  <c r="V31" i="101"/>
  <c r="O55" i="117"/>
  <c r="AI56" i="90"/>
  <c r="L34" i="99"/>
  <c r="M34" i="99" s="1"/>
  <c r="AO17" i="99"/>
  <c r="G83" i="117"/>
  <c r="O66" i="117"/>
  <c r="N26" i="117"/>
  <c r="O21" i="101"/>
  <c r="P21" i="101" s="1"/>
  <c r="AP21" i="101"/>
  <c r="AQ21" i="101" s="1"/>
  <c r="V21" i="101"/>
  <c r="G18" i="112"/>
  <c r="U35" i="94"/>
  <c r="G20" i="78"/>
  <c r="G36" i="99"/>
  <c r="W58" i="78"/>
  <c r="V16" i="72"/>
  <c r="S62" i="78"/>
  <c r="N36" i="99"/>
  <c r="Y71" i="78"/>
  <c r="AR19" i="101"/>
  <c r="Z35" i="101"/>
  <c r="W20" i="90"/>
  <c r="O17" i="99"/>
  <c r="P17" i="99" s="1"/>
  <c r="AS20" i="99"/>
  <c r="AT20" i="99" s="1"/>
  <c r="Y20" i="99"/>
  <c r="H32" i="118"/>
  <c r="N38" i="94"/>
  <c r="G38" i="94"/>
  <c r="V41" i="90"/>
  <c r="W41" i="90"/>
  <c r="W61" i="90"/>
  <c r="K29" i="90"/>
  <c r="AI29" i="90"/>
  <c r="P33" i="78"/>
  <c r="AI33" i="78"/>
  <c r="AH33" i="78"/>
  <c r="S36" i="78"/>
  <c r="P36" i="78"/>
  <c r="AH36" i="78"/>
  <c r="AE36" i="78"/>
  <c r="AN36" i="78"/>
  <c r="L19" i="78"/>
  <c r="M19" i="78" s="1"/>
  <c r="AJ19" i="78"/>
  <c r="AK19" i="78" s="1"/>
  <c r="P19" i="78"/>
  <c r="D19" i="78"/>
  <c r="S18" i="101"/>
  <c r="Z18" i="101"/>
  <c r="Y18" i="101"/>
  <c r="AO18" i="101"/>
  <c r="S25" i="99"/>
  <c r="G25" i="99"/>
  <c r="N38" i="72"/>
  <c r="O38" i="72"/>
  <c r="G38" i="72"/>
  <c r="V17" i="72"/>
  <c r="N17" i="72"/>
  <c r="H17" i="72"/>
  <c r="U82" i="117"/>
  <c r="O82" i="117"/>
  <c r="V26" i="102"/>
  <c r="J26" i="102"/>
  <c r="AE26" i="102"/>
  <c r="AB26" i="102"/>
  <c r="G26" i="102"/>
  <c r="N39" i="94"/>
  <c r="V39" i="94"/>
  <c r="H39" i="94"/>
  <c r="U39" i="94"/>
  <c r="O39" i="94"/>
  <c r="N33" i="96"/>
  <c r="H33" i="96"/>
  <c r="V35" i="94"/>
  <c r="H35" i="94"/>
  <c r="G35" i="94"/>
  <c r="G23" i="89"/>
  <c r="J23" i="89"/>
  <c r="D23" i="89"/>
  <c r="Y21" i="101"/>
  <c r="AC21" i="101"/>
  <c r="S61" i="78"/>
  <c r="AI61" i="78"/>
  <c r="V71" i="78"/>
  <c r="AB71" i="78"/>
  <c r="M71" i="78"/>
  <c r="AI71" i="78"/>
  <c r="G71" i="78"/>
  <c r="AJ71" i="78"/>
  <c r="D54" i="78"/>
  <c r="P54" i="78"/>
  <c r="AI54" i="78"/>
  <c r="G54" i="78"/>
  <c r="AH54" i="78"/>
  <c r="AD35" i="101"/>
  <c r="AE35" i="101" s="1"/>
  <c r="AA35" i="101"/>
  <c r="AB35" i="101" s="1"/>
  <c r="AC35" i="101"/>
  <c r="L35" i="101"/>
  <c r="M35" i="101" s="1"/>
  <c r="AO35" i="101"/>
  <c r="AS35" i="101"/>
  <c r="AT35" i="101" s="1"/>
  <c r="D35" i="101"/>
  <c r="V35" i="101"/>
  <c r="K35" i="101"/>
  <c r="G35" i="101"/>
  <c r="Y35" i="101"/>
  <c r="S35" i="101"/>
  <c r="O35" i="101"/>
  <c r="P35" i="101" s="1"/>
  <c r="AN35" i="101"/>
  <c r="N35" i="101"/>
  <c r="AH35" i="101"/>
  <c r="AP39" i="99"/>
  <c r="AQ39" i="99" s="1"/>
  <c r="Z39" i="99"/>
  <c r="AN39" i="99"/>
  <c r="K39" i="99"/>
  <c r="AR39" i="99"/>
  <c r="AH39" i="99"/>
  <c r="Y39" i="99"/>
  <c r="M39" i="99"/>
  <c r="D39" i="99"/>
  <c r="AC39" i="99"/>
  <c r="S39" i="99"/>
  <c r="AK39" i="99"/>
  <c r="G39" i="99"/>
  <c r="AH38" i="99"/>
  <c r="O38" i="99"/>
  <c r="P38" i="99" s="1"/>
  <c r="AA38" i="99"/>
  <c r="AB38" i="99" s="1"/>
  <c r="N38" i="96"/>
  <c r="U38" i="96"/>
  <c r="G38" i="96"/>
  <c r="U24" i="94"/>
  <c r="N24" i="94"/>
  <c r="AI24" i="90"/>
  <c r="K24" i="90"/>
  <c r="J62" i="78"/>
  <c r="W62" i="78"/>
  <c r="AN62" i="78"/>
  <c r="L62" i="78"/>
  <c r="M62" i="78" s="1"/>
  <c r="AH62" i="78"/>
  <c r="AI62" i="78"/>
  <c r="D62" i="78"/>
  <c r="AJ62" i="78"/>
  <c r="AK62" i="78" s="1"/>
  <c r="W52" i="78"/>
  <c r="S52" i="78"/>
  <c r="X52" i="78"/>
  <c r="Y52" i="78" s="1"/>
  <c r="K52" i="78"/>
  <c r="D52" i="78"/>
  <c r="AB52" i="78"/>
  <c r="G52" i="78"/>
  <c r="L52" i="78"/>
  <c r="M52" i="78" s="1"/>
  <c r="AN27" i="78"/>
  <c r="AJ27" i="78"/>
  <c r="AK27" i="78" s="1"/>
  <c r="G27" i="78"/>
  <c r="AI27" i="78"/>
  <c r="O34" i="72"/>
  <c r="U34" i="72"/>
  <c r="G34" i="72"/>
  <c r="W38" i="90"/>
  <c r="K38" i="90"/>
  <c r="AL17" i="102"/>
  <c r="AJ17" i="102"/>
  <c r="AK17" i="102" s="1"/>
  <c r="K17" i="102"/>
  <c r="AM17" i="102"/>
  <c r="AN17" i="102" s="1"/>
  <c r="P17" i="102"/>
  <c r="AR27" i="101"/>
  <c r="AN27" i="101"/>
  <c r="L27" i="101"/>
  <c r="M27" i="101" s="1"/>
  <c r="AS27" i="101"/>
  <c r="AT27" i="101" s="1"/>
  <c r="Z27" i="101"/>
  <c r="Y27" i="101"/>
  <c r="AO27" i="101"/>
  <c r="AC27" i="101"/>
  <c r="K27" i="101"/>
  <c r="V26" i="118"/>
  <c r="O26" i="118"/>
  <c r="O24" i="118"/>
  <c r="V24" i="118"/>
  <c r="H24" i="118"/>
  <c r="D16" i="110"/>
  <c r="J16" i="110"/>
  <c r="G16" i="110"/>
  <c r="G34" i="117"/>
  <c r="O34" i="117"/>
  <c r="G64" i="117"/>
  <c r="O64" i="117"/>
  <c r="U64" i="117"/>
  <c r="H64" i="117"/>
  <c r="V51" i="117"/>
  <c r="U51" i="117"/>
  <c r="N51" i="117"/>
  <c r="H51" i="117"/>
  <c r="G97" i="117"/>
  <c r="H97" i="117"/>
  <c r="N97" i="117"/>
  <c r="O97" i="117"/>
  <c r="G71" i="117"/>
  <c r="U71" i="117"/>
  <c r="V71" i="117"/>
  <c r="N71" i="117"/>
  <c r="G93" i="117"/>
  <c r="O93" i="117"/>
  <c r="J34" i="107"/>
  <c r="D34" i="107"/>
  <c r="AJ28" i="102"/>
  <c r="AK28" i="102" s="1"/>
  <c r="X28" i="102"/>
  <c r="Y28" i="102" s="1"/>
  <c r="AI28" i="102"/>
  <c r="V28" i="102"/>
  <c r="G28" i="102"/>
  <c r="AL28" i="102"/>
  <c r="P28" i="102"/>
  <c r="J28" i="102"/>
  <c r="AI23" i="102"/>
  <c r="W23" i="102"/>
  <c r="P23" i="102"/>
  <c r="D23" i="102"/>
  <c r="AM23" i="102"/>
  <c r="AN23" i="102" s="1"/>
  <c r="V23" i="102"/>
  <c r="D37" i="101"/>
  <c r="AS37" i="101"/>
  <c r="AT37" i="101" s="1"/>
  <c r="AB37" i="101"/>
  <c r="O37" i="101"/>
  <c r="P37" i="101" s="1"/>
  <c r="AR37" i="101"/>
  <c r="Z37" i="101"/>
  <c r="AH37" i="101"/>
  <c r="X36" i="102"/>
  <c r="Y36" i="102" s="1"/>
  <c r="G36" i="102"/>
  <c r="J29" i="101"/>
  <c r="V29" i="101"/>
  <c r="S29" i="101"/>
  <c r="AA29" i="101"/>
  <c r="AB29" i="101" s="1"/>
  <c r="O29" i="101"/>
  <c r="P29" i="101" s="1"/>
  <c r="Y29" i="101"/>
  <c r="AS29" i="101"/>
  <c r="AT29" i="101" s="1"/>
  <c r="AD29" i="101"/>
  <c r="AE29" i="101" s="1"/>
  <c r="Z29" i="101"/>
  <c r="J27" i="89"/>
  <c r="D27" i="89"/>
  <c r="J38" i="114"/>
  <c r="V30" i="94"/>
  <c r="H30" i="94"/>
  <c r="H25" i="94"/>
  <c r="U25" i="94"/>
  <c r="W65" i="78"/>
  <c r="S65" i="78"/>
  <c r="AJ58" i="78"/>
  <c r="AK58" i="78" s="1"/>
  <c r="AH58" i="78"/>
  <c r="X38" i="90"/>
  <c r="H38" i="118"/>
  <c r="O38" i="118"/>
  <c r="H33" i="118"/>
  <c r="V33" i="118"/>
  <c r="H30" i="117"/>
  <c r="O30" i="117"/>
  <c r="G30" i="117"/>
  <c r="G62" i="117"/>
  <c r="V62" i="117"/>
  <c r="U62" i="117"/>
  <c r="O62" i="117"/>
  <c r="H62" i="117"/>
  <c r="N88" i="117"/>
  <c r="U88" i="117"/>
  <c r="V88" i="117"/>
  <c r="V40" i="117"/>
  <c r="G40" i="117"/>
  <c r="O40" i="117"/>
  <c r="P30" i="102"/>
  <c r="AJ30" i="102"/>
  <c r="AK30" i="102" s="1"/>
  <c r="V30" i="102"/>
  <c r="AE30" i="102"/>
  <c r="N33" i="101"/>
  <c r="AD33" i="101"/>
  <c r="AE33" i="101" s="1"/>
  <c r="Y33" i="101"/>
  <c r="S33" i="101"/>
  <c r="AA33" i="101"/>
  <c r="AB33" i="101" s="1"/>
  <c r="AP33" i="101"/>
  <c r="AQ33" i="101" s="1"/>
  <c r="D33" i="102"/>
  <c r="W33" i="102"/>
  <c r="AJ33" i="102"/>
  <c r="AK33" i="102" s="1"/>
  <c r="AL33" i="102"/>
  <c r="AE33" i="102"/>
  <c r="AN33" i="102"/>
  <c r="AN31" i="101"/>
  <c r="AC31" i="101"/>
  <c r="K31" i="101"/>
  <c r="AS31" i="101"/>
  <c r="AT31" i="101" s="1"/>
  <c r="J31" i="101"/>
  <c r="O31" i="101"/>
  <c r="P31" i="101" s="1"/>
  <c r="AA31" i="101"/>
  <c r="AB31" i="101" s="1"/>
  <c r="AP31" i="101"/>
  <c r="AQ31" i="101" s="1"/>
  <c r="L31" i="101"/>
  <c r="M31" i="101" s="1"/>
  <c r="AR31" i="101"/>
  <c r="G31" i="101"/>
  <c r="Y31" i="101"/>
  <c r="S31" i="101"/>
  <c r="Z31" i="101"/>
  <c r="AO31" i="101"/>
  <c r="AH31" i="101"/>
  <c r="N31" i="101"/>
  <c r="K20" i="102"/>
  <c r="J20" i="102"/>
  <c r="AK17" i="101"/>
  <c r="G17" i="101"/>
  <c r="AS17" i="101"/>
  <c r="AT17" i="101" s="1"/>
  <c r="N17" i="101"/>
  <c r="AR17" i="101"/>
  <c r="AN17" i="101"/>
  <c r="K17" i="101"/>
  <c r="AD27" i="99"/>
  <c r="AE27" i="99" s="1"/>
  <c r="AP27" i="99"/>
  <c r="AQ27" i="99" s="1"/>
  <c r="AN27" i="99"/>
  <c r="O18" i="96"/>
  <c r="G18" i="96"/>
  <c r="H34" i="94"/>
  <c r="V34" i="94"/>
  <c r="S73" i="90"/>
  <c r="K73" i="90"/>
  <c r="W73" i="90"/>
  <c r="AE73" i="90"/>
  <c r="W63" i="90"/>
  <c r="K63" i="90"/>
  <c r="W31" i="90"/>
  <c r="K31" i="90"/>
  <c r="W34" i="90"/>
  <c r="AI34" i="90"/>
  <c r="L68" i="78"/>
  <c r="M68" i="78" s="1"/>
  <c r="AN68" i="78"/>
  <c r="V68" i="78"/>
  <c r="X68" i="78"/>
  <c r="Y68" i="78" s="1"/>
  <c r="AI68" i="78"/>
  <c r="G68" i="78"/>
  <c r="J68" i="78"/>
  <c r="W68" i="78"/>
  <c r="AJ51" i="78"/>
  <c r="AK51" i="78" s="1"/>
  <c r="P51" i="78"/>
  <c r="L51" i="78"/>
  <c r="M51" i="78" s="1"/>
  <c r="AB51" i="78"/>
  <c r="V51" i="78"/>
  <c r="AJ22" i="78"/>
  <c r="AK22" i="78" s="1"/>
  <c r="AB22" i="78"/>
  <c r="V22" i="78"/>
  <c r="P22" i="78"/>
  <c r="W22" i="78"/>
  <c r="N22" i="72"/>
  <c r="U22" i="72"/>
  <c r="AH27" i="102"/>
  <c r="AM27" i="102"/>
  <c r="AN27" i="102" s="1"/>
  <c r="D27" i="102"/>
  <c r="AN32" i="101"/>
  <c r="K32" i="101"/>
  <c r="J32" i="101"/>
  <c r="Y32" i="101"/>
  <c r="V32" i="101"/>
  <c r="AC32" i="101"/>
  <c r="AD32" i="101"/>
  <c r="AE32" i="101" s="1"/>
  <c r="M32" i="101"/>
  <c r="AO32" i="101"/>
  <c r="AE68" i="90"/>
  <c r="O84" i="117"/>
  <c r="H28" i="117"/>
  <c r="N28" i="117"/>
  <c r="U28" i="117"/>
  <c r="G28" i="117"/>
  <c r="V28" i="117"/>
  <c r="P18" i="102"/>
  <c r="J18" i="102"/>
  <c r="AK18" i="102"/>
  <c r="AD21" i="101"/>
  <c r="AE21" i="101" s="1"/>
  <c r="AO21" i="101"/>
  <c r="AA21" i="101"/>
  <c r="AB21" i="101" s="1"/>
  <c r="J21" i="101"/>
  <c r="AH21" i="101"/>
  <c r="AN21" i="101"/>
  <c r="M21" i="101"/>
  <c r="AK21" i="101"/>
  <c r="N34" i="96"/>
  <c r="G34" i="96"/>
  <c r="AH61" i="78"/>
  <c r="P61" i="78"/>
  <c r="X61" i="78"/>
  <c r="Y61" i="78" s="1"/>
  <c r="S71" i="78"/>
  <c r="D71" i="78"/>
  <c r="AH71" i="78"/>
  <c r="AK71" i="78"/>
  <c r="P71" i="78"/>
  <c r="K71" i="78"/>
  <c r="S32" i="102"/>
  <c r="AI32" i="102"/>
  <c r="AB71" i="90"/>
  <c r="G71" i="90"/>
  <c r="X24" i="102"/>
  <c r="Y24" i="102" s="1"/>
  <c r="G24" i="102"/>
  <c r="V24" i="102"/>
  <c r="S24" i="102"/>
  <c r="AN38" i="101"/>
  <c r="AS38" i="101"/>
  <c r="AT38" i="101" s="1"/>
  <c r="AI69" i="90"/>
  <c r="AK37" i="78"/>
  <c r="L30" i="101"/>
  <c r="M30" i="101" s="1"/>
  <c r="AD30" i="101"/>
  <c r="AE30" i="101" s="1"/>
  <c r="S62" i="90"/>
  <c r="V61" i="90"/>
  <c r="AE62" i="90"/>
  <c r="AJ57" i="90"/>
  <c r="AK57" i="90" s="1"/>
  <c r="AE57" i="90"/>
  <c r="G53" i="117"/>
  <c r="H53" i="117"/>
  <c r="AM34" i="102"/>
  <c r="AN34" i="102" s="1"/>
  <c r="AJ34" i="102"/>
  <c r="AK34" i="102" s="1"/>
  <c r="L34" i="102"/>
  <c r="AP20" i="101"/>
  <c r="AQ20" i="101" s="1"/>
  <c r="S20" i="101"/>
  <c r="H88" i="117"/>
  <c r="G88" i="117"/>
  <c r="H71" i="117"/>
  <c r="O71" i="117"/>
  <c r="AK23" i="102"/>
  <c r="K29" i="101"/>
  <c r="AH29" i="101"/>
  <c r="M21" i="102"/>
  <c r="G88" i="71"/>
  <c r="G117" i="71"/>
  <c r="Z41" i="79"/>
  <c r="K41" i="79"/>
  <c r="N41" i="79"/>
  <c r="AD41" i="79"/>
  <c r="AE41" i="79" s="1"/>
  <c r="AR41" i="79"/>
  <c r="G103" i="71"/>
  <c r="AA41" i="79"/>
  <c r="AB41" i="79" s="1"/>
  <c r="L41" i="79"/>
  <c r="M41" i="79" s="1"/>
  <c r="AS41" i="79"/>
  <c r="AT41" i="79" s="1"/>
  <c r="AP41" i="79"/>
  <c r="AQ41" i="79" s="1"/>
  <c r="AC41" i="79"/>
  <c r="O41" i="79"/>
  <c r="P41" i="79" s="1"/>
  <c r="AO41" i="79"/>
  <c r="C11" i="88"/>
  <c r="C11" i="87"/>
  <c r="D11" i="111"/>
  <c r="D11" i="106"/>
  <c r="F11" i="106"/>
  <c r="F11" i="111"/>
  <c r="C11" i="33"/>
  <c r="C11" i="119"/>
  <c r="C11" i="96"/>
  <c r="C11" i="94"/>
  <c r="C11" i="116"/>
  <c r="C11" i="115"/>
  <c r="C11" i="90"/>
  <c r="C11" i="78"/>
  <c r="C11" i="110"/>
  <c r="C11" i="107"/>
  <c r="C11" i="114"/>
  <c r="C11" i="109"/>
  <c r="C11" i="112"/>
  <c r="C11" i="108"/>
  <c r="C11" i="113"/>
  <c r="C11" i="117"/>
  <c r="C11" i="72"/>
  <c r="C11" i="101"/>
  <c r="C11" i="99"/>
  <c r="Z45" i="90"/>
  <c r="AL45" i="90"/>
  <c r="N45" i="90"/>
  <c r="L36" i="90" l="1"/>
  <c r="M36" i="90" s="1"/>
  <c r="AK41" i="90"/>
  <c r="AJ73" i="90"/>
  <c r="AK73" i="90" s="1"/>
  <c r="L71" i="90"/>
  <c r="M71" i="90" s="1"/>
  <c r="AJ72" i="90"/>
  <c r="AK72" i="90" s="1"/>
  <c r="X39" i="90"/>
  <c r="Y39" i="90" s="1"/>
  <c r="L73" i="90"/>
  <c r="AJ69" i="90"/>
  <c r="AK69" i="90" s="1"/>
  <c r="AJ71" i="90"/>
  <c r="AK71" i="90" s="1"/>
  <c r="X41" i="90"/>
  <c r="X72" i="90"/>
  <c r="Y72" i="90" s="1"/>
  <c r="AE69" i="90"/>
  <c r="G73" i="90"/>
  <c r="X36" i="90"/>
  <c r="Y36" i="90" s="1"/>
  <c r="L39" i="90"/>
  <c r="M39" i="90" s="1"/>
  <c r="AJ40" i="90"/>
  <c r="AK40" i="90" s="1"/>
  <c r="L70" i="90"/>
  <c r="M70" i="90" s="1"/>
  <c r="X37" i="90"/>
  <c r="Y37" i="90" s="1"/>
  <c r="X70" i="90"/>
  <c r="Y70" i="90" s="1"/>
  <c r="L41" i="90"/>
  <c r="M41" i="90" s="1"/>
  <c r="X73" i="90"/>
  <c r="Y73" i="90" s="1"/>
  <c r="X40" i="90"/>
  <c r="Y40" i="90" s="1"/>
  <c r="M73" i="90"/>
  <c r="L72" i="90"/>
  <c r="M72" i="90" s="1"/>
  <c r="S72" i="90"/>
  <c r="Y41" i="90"/>
  <c r="AE72" i="90"/>
  <c r="AE40" i="90"/>
  <c r="G72" i="90"/>
  <c r="L40" i="90"/>
  <c r="M40" i="90" s="1"/>
  <c r="X71" i="90"/>
  <c r="Y71" i="90" s="1"/>
  <c r="S39" i="90"/>
  <c r="AJ39" i="90"/>
  <c r="AK39" i="90" s="1"/>
  <c r="X67" i="90"/>
  <c r="Y67" i="90" s="1"/>
  <c r="AJ33" i="90"/>
  <c r="AK33" i="90" s="1"/>
  <c r="S67" i="90"/>
  <c r="X68" i="90"/>
  <c r="Y68" i="90" s="1"/>
  <c r="AE33" i="90"/>
  <c r="V70" i="90"/>
  <c r="G36" i="90"/>
  <c r="AJ36" i="90"/>
  <c r="AK36" i="90" s="1"/>
  <c r="L67" i="90"/>
  <c r="M67" i="90" s="1"/>
  <c r="X57" i="90"/>
  <c r="Y57" i="90" s="1"/>
  <c r="L68" i="90"/>
  <c r="M68" i="90" s="1"/>
  <c r="L38" i="90"/>
  <c r="M38" i="90" s="1"/>
  <c r="L69" i="90"/>
  <c r="M69" i="90" s="1"/>
  <c r="L35" i="90"/>
  <c r="M35" i="90" s="1"/>
  <c r="AE67" i="90"/>
  <c r="AK62" i="90"/>
  <c r="AJ68" i="90"/>
  <c r="AK68" i="90" s="1"/>
  <c r="AM11" i="102"/>
  <c r="X62" i="90"/>
  <c r="Y62" i="90" s="1"/>
  <c r="L62" i="90"/>
  <c r="M62" i="90" s="1"/>
  <c r="X33" i="90"/>
  <c r="Y33" i="90" s="1"/>
  <c r="L57" i="90"/>
  <c r="M57" i="90" s="1"/>
  <c r="L33" i="90"/>
  <c r="M33" i="90" s="1"/>
  <c r="X23" i="90"/>
  <c r="Y23" i="90" s="1"/>
  <c r="Y61" i="90"/>
  <c r="Y63" i="90"/>
  <c r="AL41" i="102"/>
  <c r="K43" i="78"/>
  <c r="X43" i="78"/>
  <c r="Y43" i="78" s="1"/>
  <c r="K41" i="102"/>
  <c r="L43" i="78"/>
  <c r="M43" i="78" s="1"/>
  <c r="W43" i="78"/>
  <c r="AI43" i="78"/>
  <c r="AO41" i="101"/>
  <c r="W41" i="102"/>
  <c r="AI75" i="78"/>
  <c r="AJ41" i="102"/>
  <c r="AK41" i="102" s="1"/>
  <c r="L25" i="90"/>
  <c r="M25" i="90" s="1"/>
  <c r="X66" i="90"/>
  <c r="Y66" i="90" s="1"/>
  <c r="O11" i="102"/>
  <c r="X64" i="90"/>
  <c r="Y64" i="90" s="1"/>
  <c r="J11" i="118"/>
  <c r="AJ27" i="90"/>
  <c r="AK27" i="90" s="1"/>
  <c r="AE27" i="90"/>
  <c r="X21" i="90"/>
  <c r="Y21" i="90" s="1"/>
  <c r="X60" i="90"/>
  <c r="Y60" i="90" s="1"/>
  <c r="AJ61" i="90"/>
  <c r="AK61" i="90" s="1"/>
  <c r="L55" i="90"/>
  <c r="M55" i="90" s="1"/>
  <c r="L22" i="90"/>
  <c r="M22" i="90" s="1"/>
  <c r="X34" i="90"/>
  <c r="Y34" i="90" s="1"/>
  <c r="AJ65" i="90"/>
  <c r="AK65" i="90" s="1"/>
  <c r="X52" i="90"/>
  <c r="Y52" i="90" s="1"/>
  <c r="X53" i="90"/>
  <c r="Y53" i="90" s="1"/>
  <c r="L21" i="90"/>
  <c r="M21" i="90" s="1"/>
  <c r="AE65" i="90"/>
  <c r="X55" i="90"/>
  <c r="Y55" i="90" s="1"/>
  <c r="L20" i="90"/>
  <c r="M20" i="90" s="1"/>
  <c r="AJ21" i="90"/>
  <c r="AK21" i="90" s="1"/>
  <c r="AJ31" i="90"/>
  <c r="AK31" i="90" s="1"/>
  <c r="AJ64" i="90"/>
  <c r="AK64" i="90" s="1"/>
  <c r="X19" i="90"/>
  <c r="Y19" i="90" s="1"/>
  <c r="AJ28" i="90"/>
  <c r="AK28" i="90" s="1"/>
  <c r="L23" i="90"/>
  <c r="M23" i="90" s="1"/>
  <c r="AH64" i="90"/>
  <c r="L59" i="90"/>
  <c r="M59" i="90" s="1"/>
  <c r="AJ20" i="90"/>
  <c r="AK20" i="90" s="1"/>
  <c r="AE21" i="90"/>
  <c r="S19" i="90"/>
  <c r="L51" i="90"/>
  <c r="M51" i="90" s="1"/>
  <c r="L32" i="90"/>
  <c r="M32" i="90" s="1"/>
  <c r="AH31" i="90"/>
  <c r="L60" i="90"/>
  <c r="M60" i="90" s="1"/>
  <c r="V64" i="90"/>
  <c r="X51" i="90"/>
  <c r="Y51" i="90" s="1"/>
  <c r="L56" i="90"/>
  <c r="M56" i="90" s="1"/>
  <c r="L58" i="90"/>
  <c r="M58" i="90" s="1"/>
  <c r="X27" i="90"/>
  <c r="Y27" i="90" s="1"/>
  <c r="X30" i="90"/>
  <c r="Y30" i="90" s="1"/>
  <c r="X20" i="90"/>
  <c r="Y20" i="90" s="1"/>
  <c r="AJ55" i="90"/>
  <c r="AK55" i="90" s="1"/>
  <c r="L28" i="90"/>
  <c r="M28" i="90" s="1"/>
  <c r="S63" i="90"/>
  <c r="F75" i="90"/>
  <c r="G75" i="90" s="1"/>
  <c r="AE22" i="90"/>
  <c r="AJ30" i="90"/>
  <c r="AK30" i="90" s="1"/>
  <c r="S34" i="90"/>
  <c r="X22" i="90"/>
  <c r="Y22" i="90" s="1"/>
  <c r="AJ59" i="90"/>
  <c r="AK59" i="90" s="1"/>
  <c r="S61" i="90"/>
  <c r="X65" i="90"/>
  <c r="Y65" i="90" s="1"/>
  <c r="AJ54" i="90"/>
  <c r="AK54" i="90" s="1"/>
  <c r="L54" i="90"/>
  <c r="M54" i="90" s="1"/>
  <c r="X54" i="90"/>
  <c r="Y54" i="90" s="1"/>
  <c r="L65" i="90"/>
  <c r="M65" i="90" s="1"/>
  <c r="L27" i="90"/>
  <c r="M27" i="90" s="1"/>
  <c r="AD43" i="90"/>
  <c r="AE43" i="90" s="1"/>
  <c r="L52" i="90"/>
  <c r="M52" i="90" s="1"/>
  <c r="AJ32" i="90"/>
  <c r="AK32" i="90" s="1"/>
  <c r="L66" i="90"/>
  <c r="M66" i="90" s="1"/>
  <c r="AJ23" i="90"/>
  <c r="AK23" i="90" s="1"/>
  <c r="L61" i="90"/>
  <c r="M61" i="90" s="1"/>
  <c r="R43" i="90"/>
  <c r="S43" i="90" s="1"/>
  <c r="AA75" i="90"/>
  <c r="AB75" i="90" s="1"/>
  <c r="AJ19" i="90"/>
  <c r="AK19" i="90" s="1"/>
  <c r="AE54" i="90"/>
  <c r="G56" i="90"/>
  <c r="C43" i="90"/>
  <c r="D43" i="90" s="1"/>
  <c r="AE19" i="90"/>
  <c r="AJ51" i="90"/>
  <c r="AK51" i="90" s="1"/>
  <c r="W75" i="78"/>
  <c r="AJ52" i="90"/>
  <c r="AK52" i="90" s="1"/>
  <c r="AJ53" i="90"/>
  <c r="AK53" i="90" s="1"/>
  <c r="AI41" i="102"/>
  <c r="L53" i="90"/>
  <c r="M53" i="90" s="1"/>
  <c r="X28" i="90"/>
  <c r="Y28" i="90" s="1"/>
  <c r="AO41" i="99"/>
  <c r="X25" i="90"/>
  <c r="Y25" i="90" s="1"/>
  <c r="R75" i="90"/>
  <c r="S75" i="90" s="1"/>
  <c r="I43" i="90"/>
  <c r="J43" i="90" s="1"/>
  <c r="X31" i="90"/>
  <c r="Y31" i="90" s="1"/>
  <c r="K75" i="78"/>
  <c r="K75" i="90"/>
  <c r="L41" i="99"/>
  <c r="M41" i="99" s="1"/>
  <c r="X75" i="78"/>
  <c r="Y75" i="78" s="1"/>
  <c r="X58" i="90"/>
  <c r="Y58" i="90" s="1"/>
  <c r="AJ25" i="90"/>
  <c r="AK25" i="90" s="1"/>
  <c r="L30" i="90"/>
  <c r="M30" i="90" s="1"/>
  <c r="L19" i="90"/>
  <c r="M19" i="90" s="1"/>
  <c r="AJ60" i="90"/>
  <c r="AK60" i="90" s="1"/>
  <c r="X59" i="90"/>
  <c r="Y59" i="90" s="1"/>
  <c r="L63" i="90"/>
  <c r="M63" i="90" s="1"/>
  <c r="I75" i="90"/>
  <c r="J75" i="90" s="1"/>
  <c r="L64" i="90"/>
  <c r="M64" i="90" s="1"/>
  <c r="AK22" i="90"/>
  <c r="L24" i="90"/>
  <c r="M24" i="90" s="1"/>
  <c r="L34" i="90"/>
  <c r="M34" i="90" s="1"/>
  <c r="S25" i="90"/>
  <c r="AE37" i="90"/>
  <c r="AJ37" i="90"/>
  <c r="AK37" i="90" s="1"/>
  <c r="S69" i="90"/>
  <c r="X69" i="90"/>
  <c r="Y69" i="90" s="1"/>
  <c r="AM41" i="102"/>
  <c r="AN41" i="102" s="1"/>
  <c r="L75" i="78"/>
  <c r="M75" i="78" s="1"/>
  <c r="U75" i="90"/>
  <c r="V75" i="90" s="1"/>
  <c r="AJ43" i="78"/>
  <c r="AK43" i="78" s="1"/>
  <c r="L29" i="90"/>
  <c r="M29" i="90" s="1"/>
  <c r="L31" i="90"/>
  <c r="M31" i="90" s="1"/>
  <c r="AG43" i="90"/>
  <c r="AH43" i="90" s="1"/>
  <c r="U43" i="90"/>
  <c r="V43" i="90" s="1"/>
  <c r="O43" i="90"/>
  <c r="P43" i="90" s="1"/>
  <c r="AJ70" i="90"/>
  <c r="AK70" i="90" s="1"/>
  <c r="AH70" i="90"/>
  <c r="AJ75" i="78"/>
  <c r="AK75" i="78" s="1"/>
  <c r="AJ66" i="90"/>
  <c r="AK66" i="90" s="1"/>
  <c r="AJ38" i="90"/>
  <c r="AK38" i="90" s="1"/>
  <c r="L37" i="90"/>
  <c r="M37" i="90" s="1"/>
  <c r="G37" i="90"/>
  <c r="N41" i="101"/>
  <c r="K41" i="99"/>
  <c r="AA43" i="90"/>
  <c r="AB43" i="90" s="1"/>
  <c r="X41" i="102"/>
  <c r="Y41" i="102" s="1"/>
  <c r="K43" i="90"/>
  <c r="J26" i="90"/>
  <c r="L26" i="90"/>
  <c r="M26" i="90" s="1"/>
  <c r="W43" i="90"/>
  <c r="AI75" i="90"/>
  <c r="L41" i="101"/>
  <c r="M41" i="101" s="1"/>
  <c r="AD41" i="101"/>
  <c r="AE41" i="101" s="1"/>
  <c r="AR41" i="99"/>
  <c r="X35" i="90"/>
  <c r="Y35" i="90" s="1"/>
  <c r="AA41" i="101"/>
  <c r="AB41" i="101" s="1"/>
  <c r="Z41" i="101"/>
  <c r="W75" i="90"/>
  <c r="AI43" i="90"/>
  <c r="AC41" i="99"/>
  <c r="AM75" i="90"/>
  <c r="AN75" i="90" s="1"/>
  <c r="AR41" i="101"/>
  <c r="AJ35" i="90"/>
  <c r="AK35" i="90" s="1"/>
  <c r="AC41" i="101"/>
  <c r="Z41" i="99"/>
  <c r="N41" i="99"/>
  <c r="AD41" i="99"/>
  <c r="AE41" i="99" s="1"/>
  <c r="F43" i="90"/>
  <c r="G43" i="90" s="1"/>
  <c r="AD75" i="90"/>
  <c r="AE75" i="90" s="1"/>
  <c r="O41" i="101"/>
  <c r="P41" i="101" s="1"/>
  <c r="X32" i="90"/>
  <c r="Y32" i="90" s="1"/>
  <c r="X29" i="90"/>
  <c r="Y29" i="90" s="1"/>
  <c r="AJ29" i="90"/>
  <c r="AK29" i="90" s="1"/>
  <c r="V34" i="90"/>
  <c r="J61" i="90"/>
  <c r="AS41" i="99"/>
  <c r="AT41" i="99" s="1"/>
  <c r="AA41" i="99"/>
  <c r="AB41" i="99" s="1"/>
  <c r="O41" i="99"/>
  <c r="P41" i="99" s="1"/>
  <c r="C75" i="90"/>
  <c r="D75" i="90" s="1"/>
  <c r="AG75" i="90"/>
  <c r="AH75" i="90" s="1"/>
  <c r="AJ58" i="90"/>
  <c r="AK58" i="90" s="1"/>
  <c r="Y38" i="90"/>
  <c r="AJ26" i="90"/>
  <c r="AK26" i="90" s="1"/>
  <c r="AJ63" i="90"/>
  <c r="AK63" i="90" s="1"/>
  <c r="AP41" i="99"/>
  <c r="AQ41" i="99" s="1"/>
  <c r="AS41" i="101"/>
  <c r="AT41" i="101" s="1"/>
  <c r="AM43" i="90"/>
  <c r="AN43" i="90" s="1"/>
  <c r="O75" i="90"/>
  <c r="P75" i="90" s="1"/>
  <c r="K41" i="101"/>
  <c r="AJ34" i="90"/>
  <c r="AK34" i="90" s="1"/>
  <c r="AE34" i="90"/>
  <c r="S26" i="90"/>
  <c r="X26" i="90"/>
  <c r="Y26" i="90" s="1"/>
  <c r="S24" i="90"/>
  <c r="X24" i="90"/>
  <c r="Y24" i="90" s="1"/>
  <c r="AJ56" i="90"/>
  <c r="AK56" i="90" s="1"/>
  <c r="S56" i="90"/>
  <c r="X56" i="90"/>
  <c r="Y56" i="90" s="1"/>
  <c r="AJ24" i="90"/>
  <c r="AK24" i="90" s="1"/>
  <c r="AE24" i="90"/>
  <c r="AP41" i="101"/>
  <c r="AQ41" i="101" s="1"/>
  <c r="L41" i="102"/>
  <c r="M41" i="102" s="1"/>
  <c r="M34" i="102"/>
  <c r="R11" i="99"/>
  <c r="AG11" i="99"/>
  <c r="Z13" i="90"/>
  <c r="O11" i="90"/>
  <c r="B13" i="90"/>
  <c r="AL13" i="90"/>
  <c r="AM11" i="90"/>
  <c r="N13" i="90"/>
  <c r="AA11" i="90"/>
  <c r="J11" i="119"/>
  <c r="Q11" i="119"/>
  <c r="J11" i="96"/>
  <c r="Q11" i="96"/>
  <c r="J11" i="72"/>
  <c r="Q11" i="72"/>
  <c r="J11" i="33"/>
  <c r="Q11" i="33"/>
  <c r="AG11" i="101"/>
  <c r="R11" i="101"/>
  <c r="J11" i="117"/>
  <c r="Q11" i="117"/>
  <c r="AM11" i="78"/>
  <c r="AL13" i="78"/>
  <c r="Z13" i="78"/>
  <c r="O11" i="78"/>
  <c r="N13" i="78"/>
  <c r="B13" i="78"/>
  <c r="AA11" i="78"/>
  <c r="Q11" i="94"/>
  <c r="J11" i="94"/>
  <c r="L75" i="90" l="1"/>
  <c r="M75" i="90" s="1"/>
  <c r="X75" i="90"/>
  <c r="Y75" i="90" s="1"/>
  <c r="L43" i="90"/>
  <c r="M43" i="90" s="1"/>
  <c r="AJ75" i="90"/>
  <c r="AK75" i="90" s="1"/>
  <c r="X43" i="90"/>
  <c r="Y43" i="90" s="1"/>
  <c r="AJ43" i="90"/>
  <c r="AK43" i="90" s="1"/>
</calcChain>
</file>

<file path=xl/comments1.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10.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1.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2.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3.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4.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5.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6.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7.xml><?xml version="1.0" encoding="utf-8"?>
<comments xmlns="http://schemas.openxmlformats.org/spreadsheetml/2006/main">
  <authors>
    <author>Michael Schwartz</author>
  </authors>
  <commentList>
    <comment ref="A17" authorId="0" shapeId="0">
      <text>
        <r>
          <rPr>
            <sz val="8"/>
            <color indexed="81"/>
            <rFont val="Tahoma"/>
            <family val="2"/>
          </rPr>
          <t xml:space="preserve">County names will automatically populate when LME-MCO name is entered in the Set-Up worksheet.
</t>
        </r>
      </text>
    </comment>
    <comment ref="A48" authorId="0" shapeId="0">
      <text>
        <r>
          <rPr>
            <sz val="8"/>
            <color indexed="81"/>
            <rFont val="Tahoma"/>
            <family val="2"/>
          </rPr>
          <t xml:space="preserve">County names will automatically populate when LME-MCO name is entered in the Set-Up worksheet.
</t>
        </r>
      </text>
    </comment>
    <comment ref="A79" authorId="0" shapeId="0">
      <text>
        <r>
          <rPr>
            <sz val="8"/>
            <color indexed="81"/>
            <rFont val="Tahoma"/>
            <family val="2"/>
          </rPr>
          <t xml:space="preserve">County names will automatically populate when LME-MCO name is entered in the Set-Up worksheet.
</t>
        </r>
      </text>
    </comment>
  </commentList>
</comments>
</file>

<file path=xl/comments18.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9.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2.xml><?xml version="1.0" encoding="utf-8"?>
<comments xmlns="http://schemas.openxmlformats.org/spreadsheetml/2006/main">
  <authors>
    <author>Michael Schwartz</author>
  </authors>
  <commentList>
    <comment ref="A16" authorId="0" shapeId="0">
      <text>
        <r>
          <rPr>
            <sz val="8"/>
            <color indexed="81"/>
            <rFont val="Tahoma"/>
            <family val="2"/>
          </rPr>
          <t>Age Group determined by the person's age at the time of the first service during the measurement period.</t>
        </r>
      </text>
    </comment>
    <comment ref="A18" authorId="0" shapeId="0">
      <text>
        <r>
          <rPr>
            <sz val="8"/>
            <color indexed="81"/>
            <rFont val="Tahoma"/>
            <family val="2"/>
          </rPr>
          <t xml:space="preserve">County names will automatically populate when LME-MCO name is entered in the Set-Up worksheet.
</t>
        </r>
      </text>
    </comment>
    <comment ref="A48" authorId="0" shapeId="0">
      <text>
        <r>
          <rPr>
            <sz val="8"/>
            <color indexed="81"/>
            <rFont val="Tahoma"/>
            <family val="2"/>
          </rPr>
          <t>Age Group determined by the person's age at the time of the first service during the measurement period.</t>
        </r>
      </text>
    </comment>
    <comment ref="A50" authorId="0" shapeId="0">
      <text>
        <r>
          <rPr>
            <sz val="8"/>
            <color indexed="81"/>
            <rFont val="Tahoma"/>
            <family val="2"/>
          </rPr>
          <t xml:space="preserve">County names will automatically populate when LME-MCO name is entered in the Set-Up worksheet.
</t>
        </r>
      </text>
    </comment>
  </commentList>
</comments>
</file>

<file path=xl/comments20.xml><?xml version="1.0" encoding="utf-8"?>
<comments xmlns="http://schemas.openxmlformats.org/spreadsheetml/2006/main">
  <authors>
    <author>Michael Schwartz</author>
  </authors>
  <commentList>
    <comment ref="D3" authorId="0" shapeId="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1.xml><?xml version="1.0" encoding="utf-8"?>
<comments xmlns="http://schemas.openxmlformats.org/spreadsheetml/2006/main">
  <authors>
    <author>Michael Schwartz</author>
  </authors>
  <commentList>
    <comment ref="H4" authorId="0" shapeId="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2.xml><?xml version="1.0" encoding="utf-8"?>
<comments xmlns="http://schemas.openxmlformats.org/spreadsheetml/2006/main">
  <authors>
    <author>Michael Schwartz</author>
  </authors>
  <commentList>
    <comment ref="N4" authorId="0" shapeId="0">
      <text>
        <r>
          <rPr>
            <sz val="10"/>
            <color indexed="81"/>
            <rFont val="Tahoma"/>
            <family val="2"/>
          </rPr>
          <t>Used 2011 Percentages as this is the most current available data.</t>
        </r>
      </text>
    </comment>
    <comment ref="B5" authorId="0" shapeId="0">
      <text>
        <r>
          <rPr>
            <sz val="10"/>
            <color indexed="81"/>
            <rFont val="Tahoma"/>
            <family val="2"/>
          </rPr>
          <t>LME-MCO configuration as of October 2013 (following the merger of Western Highlands Network with Smoky Mountain Center).</t>
        </r>
      </text>
    </comment>
  </commentList>
</comments>
</file>

<file path=xl/comments23.xml><?xml version="1.0" encoding="utf-8"?>
<comments xmlns="http://schemas.openxmlformats.org/spreadsheetml/2006/main">
  <authors>
    <author>Michael Schwartz</author>
  </authors>
  <commentList>
    <comment ref="N4" authorId="0" shapeId="0">
      <text>
        <r>
          <rPr>
            <sz val="10"/>
            <color indexed="81"/>
            <rFont val="Tahoma"/>
            <family val="2"/>
          </rPr>
          <t>Used 2011 Percentages as this is the most current available data.</t>
        </r>
      </text>
    </comment>
    <comment ref="B5" authorId="0" shapeId="0">
      <text>
        <r>
          <rPr>
            <sz val="10"/>
            <color indexed="81"/>
            <rFont val="Tahoma"/>
            <family val="2"/>
          </rPr>
          <t>LME-MCO configuration as of July 2014 (following the merger of Western Highlands Network with Smoky Mountain Center and MeckLINK with Cardinal Innovations).</t>
        </r>
      </text>
    </comment>
  </commentList>
</comments>
</file>

<file path=xl/comments3.xml><?xml version="1.0" encoding="utf-8"?>
<comments xmlns="http://schemas.openxmlformats.org/spreadsheetml/2006/main">
  <authors>
    <author>Michael Schwartz</author>
  </authors>
  <commentList>
    <comment ref="A16" authorId="0" shapeId="0">
      <text>
        <r>
          <rPr>
            <sz val="8"/>
            <color indexed="81"/>
            <rFont val="Tahoma"/>
            <family val="2"/>
          </rPr>
          <t>Age Group determined by the person's age at the time of the first service during the measurement period.</t>
        </r>
      </text>
    </comment>
    <comment ref="A18" authorId="0" shapeId="0">
      <text>
        <r>
          <rPr>
            <b/>
            <sz val="8"/>
            <color indexed="81"/>
            <rFont val="Tahoma"/>
            <family val="2"/>
          </rPr>
          <t>County</t>
        </r>
        <r>
          <rPr>
            <sz val="8"/>
            <color indexed="81"/>
            <rFont val="Tahoma"/>
            <family val="2"/>
          </rPr>
          <t xml:space="preserve"> names </t>
        </r>
        <r>
          <rPr>
            <sz val="8"/>
            <color indexed="81"/>
            <rFont val="Tahoma"/>
            <family val="2"/>
          </rPr>
          <t xml:space="preserve">will automatically populate when LME-MCO name is entered in the Set-Up worksheet.
</t>
        </r>
      </text>
    </comment>
    <comment ref="A48" authorId="0" shapeId="0">
      <text>
        <r>
          <rPr>
            <sz val="8"/>
            <color indexed="81"/>
            <rFont val="Tahoma"/>
            <family val="2"/>
          </rPr>
          <t>Age Group determined by the person's age at the time of the first service during the measurement period.</t>
        </r>
      </text>
    </comment>
    <comment ref="A50" authorId="0" shapeId="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authors>
    <author>Michael Schwartz</author>
  </authors>
  <commentList>
    <comment ref="A14" authorId="0" shapeId="0">
      <text>
        <r>
          <rPr>
            <sz val="8"/>
            <color indexed="81"/>
            <rFont val="Tahoma"/>
            <family val="2"/>
          </rPr>
          <t>Age Group determined by the person's age at the time of the first service during the measurement period.</t>
        </r>
      </text>
    </comment>
    <comment ref="A16" authorId="0" shapeId="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authors>
    <author>Michael Schwartz</author>
  </authors>
  <commentList>
    <comment ref="A14" authorId="0" shapeId="0">
      <text>
        <r>
          <rPr>
            <sz val="8"/>
            <color indexed="81"/>
            <rFont val="Tahoma"/>
            <family val="2"/>
          </rPr>
          <t>Age Group determined by the person's age at the time of the first service during the measurement period.</t>
        </r>
      </text>
    </comment>
    <comment ref="A16" authorId="0" shapeId="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authors>
    <author>Michael Schwartz</author>
  </authors>
  <commentList>
    <comment ref="A14" authorId="0" shapeId="0">
      <text>
        <r>
          <rPr>
            <sz val="8"/>
            <color indexed="81"/>
            <rFont val="Tahoma"/>
            <family val="2"/>
          </rPr>
          <t>Age Group determined by the person's age at the time of the first service during the measurement period.</t>
        </r>
      </text>
    </comment>
    <comment ref="A16" authorId="0" shapeId="0">
      <text>
        <r>
          <rPr>
            <sz val="8"/>
            <color indexed="81"/>
            <rFont val="Tahoma"/>
            <family val="2"/>
          </rPr>
          <t xml:space="preserve">County names will automatically populate when LME-MCO name is entered in the Set-Up worksheet.
</t>
        </r>
      </text>
    </comment>
  </commentList>
</comments>
</file>

<file path=xl/comments9.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<sst xmlns="http://schemas.openxmlformats.org/spreadsheetml/2006/main" count="4831" uniqueCount="561">
  <si>
    <t>Total</t>
  </si>
  <si>
    <t>Prepaid Inpatient Health Plan</t>
  </si>
  <si>
    <t>Name of Plan:</t>
  </si>
  <si>
    <t>Numerator</t>
  </si>
  <si>
    <t>Denominator</t>
  </si>
  <si>
    <t xml:space="preserve">Rate </t>
  </si>
  <si>
    <t>13-17</t>
  </si>
  <si>
    <t>18-20</t>
  </si>
  <si>
    <t>Rate</t>
  </si>
  <si>
    <t>Product Type:</t>
  </si>
  <si>
    <t>Behavioral Health</t>
  </si>
  <si>
    <t>Average LOS</t>
  </si>
  <si>
    <t>North Carolina LME-MCO Performance Measurement and Reporting</t>
  </si>
  <si>
    <t>Alliance Behavioral Healthcare</t>
  </si>
  <si>
    <t>Cardinal Innovations Healthcare Solutions</t>
  </si>
  <si>
    <t>CenterPoint Human Services</t>
  </si>
  <si>
    <t>CoastalCare</t>
  </si>
  <si>
    <t>East Carolina Behavioral Health</t>
  </si>
  <si>
    <t>Eastpointe</t>
  </si>
  <si>
    <t>MeckLINK Behavioral Healthcare</t>
  </si>
  <si>
    <t>Partners Behavioral Health Management</t>
  </si>
  <si>
    <t>Sandhills Center</t>
  </si>
  <si>
    <t>Western Highlands Network</t>
  </si>
  <si>
    <t>LME_MCO</t>
  </si>
  <si>
    <t>Person Responsible for Completing report:</t>
  </si>
  <si>
    <t>LME-MCO Chief Executive Officer:</t>
  </si>
  <si>
    <t>LME-MCO Contract Manager:</t>
  </si>
  <si>
    <t>Date Report Completed:</t>
  </si>
  <si>
    <t>North Carolina LME-MCO Performance Measurement Reporting</t>
  </si>
  <si>
    <t>Plan Name (LME-MCO):</t>
  </si>
  <si>
    <t>Total Number of Discharges</t>
  </si>
  <si>
    <t>Total Number of Readmissions within 30 days</t>
  </si>
  <si>
    <t>Percent Readmitted Within 30 Days</t>
  </si>
  <si>
    <t>Total Number Received Outpatient Visit within 30 days</t>
  </si>
  <si>
    <t>Percent Received Outpatient Visit  Within 30 Days</t>
  </si>
  <si>
    <t>Total Number Received Outpatient Visit within 7 days</t>
  </si>
  <si>
    <t>Percent Received Outpatient Visit  Within 7 Days</t>
  </si>
  <si>
    <t>Total (13+)</t>
  </si>
  <si>
    <t>Age Groups</t>
  </si>
  <si>
    <t>Medicaid</t>
  </si>
  <si>
    <t>Enter data in applicable yellow shaded cells.</t>
  </si>
  <si>
    <t>Total Number
of Discharges</t>
  </si>
  <si>
    <t>Number Of Medicaid Enrollees</t>
  </si>
  <si>
    <t>County</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</si>
  <si>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</si>
  <si>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</si>
  <si>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</si>
  <si>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</si>
  <si>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</si>
  <si>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</si>
  <si>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</si>
  <si>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</si>
  <si>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</si>
  <si>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</si>
  <si>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</si>
  <si>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</si>
  <si>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</si>
  <si>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</si>
  <si>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</si>
  <si>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</si>
  <si>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</si>
  <si>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</si>
  <si>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</si>
  <si>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</si>
  <si>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</si>
  <si>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</si>
  <si>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</si>
  <si>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</si>
  <si>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</si>
  <si>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</si>
  <si>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</si>
  <si>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</si>
  <si>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</si>
  <si>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</si>
  <si>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</si>
  <si>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</si>
  <si>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</si>
  <si>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</si>
  <si>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</si>
  <si>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</si>
  <si>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</si>
  <si>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</si>
  <si>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</si>
  <si>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</si>
  <si>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</si>
  <si>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</si>
  <si>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</si>
  <si>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</si>
  <si>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</si>
  <si>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</si>
  <si>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</si>
  <si>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</si>
  <si>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</si>
  <si>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</si>
  <si>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</si>
  <si>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</si>
  <si>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</si>
  <si>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</si>
  <si>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</si>
  <si>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</si>
  <si>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</si>
  <si>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</si>
  <si>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</si>
  <si>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</si>
  <si>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</si>
  <si>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</si>
  <si>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</si>
  <si>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</si>
  <si>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</si>
  <si>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</si>
  <si>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</si>
  <si>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</si>
  <si>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</si>
  <si>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</si>
  <si>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</si>
  <si>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</si>
  <si>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</si>
  <si>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</si>
  <si>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</si>
  <si>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</si>
  <si>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</si>
  <si>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</si>
  <si>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</si>
  <si>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</si>
  <si>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</si>
  <si>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</si>
  <si>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</si>
  <si>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</si>
  <si>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</si>
  <si>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</si>
  <si>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</si>
  <si>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</si>
  <si>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</si>
  <si>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</si>
  <si>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</si>
  <si>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</si>
  <si>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</si>
  <si>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</si>
  <si>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</si>
  <si>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</si>
  <si>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</si>
  <si>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</si>
  <si>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</si>
  <si>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</si>
  <si>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</si>
  <si>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</si>
  <si>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18-20</t>
  </si>
  <si>
    <t>Total (Ages 3+)</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</si>
  <si>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</si>
  <si>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</si>
  <si>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</si>
  <si>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PREVENTION AND EARLY INTERVENTION</t>
  </si>
  <si>
    <t>1.1 Selective And Indicated Substance Abuse Prevention Services</t>
  </si>
  <si>
    <t>Timeframe</t>
  </si>
  <si>
    <t>Q1</t>
  </si>
  <si>
    <t>Q2</t>
  </si>
  <si>
    <t>Q3</t>
  </si>
  <si>
    <t>Q4</t>
  </si>
  <si>
    <t>Date range for the quarter:</t>
  </si>
  <si>
    <t>Report Period</t>
  </si>
  <si>
    <t>Report published two months after the end of the quarter:</t>
  </si>
  <si>
    <t>Report Published</t>
  </si>
  <si>
    <t>Indicator</t>
  </si>
  <si>
    <t>Data Source</t>
  </si>
  <si>
    <t>NC-POPS</t>
  </si>
  <si>
    <t>1 Year No Lag</t>
  </si>
  <si>
    <t>As of Date</t>
  </si>
  <si>
    <t>Report Lag</t>
  </si>
  <si>
    <t>30 days</t>
  </si>
  <si>
    <t>LME report</t>
  </si>
  <si>
    <t>1 Qtr No Lag</t>
  </si>
  <si>
    <t>Report Submitted</t>
  </si>
  <si>
    <t>1 Qtr Lagged 1 Qtr</t>
  </si>
  <si>
    <t>Claims Paid Thru</t>
  </si>
  <si>
    <t>Paid Claims Lag</t>
  </si>
  <si>
    <t>4 mos</t>
  </si>
  <si>
    <t>Paid Claims</t>
  </si>
  <si>
    <t>2.5 mos</t>
  </si>
  <si>
    <t>CDW</t>
  </si>
  <si>
    <t>(HEARTS)</t>
  </si>
  <si>
    <t>[LOS for persons discharged]</t>
  </si>
  <si>
    <t>CDW Lag</t>
  </si>
  <si>
    <t>1 mo</t>
  </si>
  <si>
    <t>NC-DETECT</t>
  </si>
  <si>
    <t>[Pct of admissions with Primary MH, DD, SA Diagnosis]</t>
  </si>
  <si>
    <t>3 mos</t>
  </si>
  <si>
    <t>1 Qtr Lagged 2 Qtrs</t>
  </si>
  <si>
    <t>180 days CDW Lag</t>
  </si>
  <si>
    <t>CCNC</t>
  </si>
  <si>
    <t>1 Year Lagged 1 Qtr</t>
  </si>
  <si>
    <t>Indicators that share the same data period are shaded the same color.</t>
  </si>
  <si>
    <t>Measurement Period</t>
  </si>
  <si>
    <t>Report Quarter</t>
  </si>
  <si>
    <t>TIMELY ACCESS TO CARE</t>
  </si>
  <si>
    <t>2.1 Timely Urgent Care:  Appointments Kept</t>
  </si>
  <si>
    <t>2.1 Timely Routine Care:  Appointments Kept</t>
  </si>
  <si>
    <t>State Fiscal Year:</t>
  </si>
  <si>
    <t>Report Quarter:</t>
  </si>
  <si>
    <t>Part II.  DMH/DD/SAS LME-MCO Quarterly Performance Measures</t>
  </si>
  <si>
    <t>Measurement Period:</t>
  </si>
  <si>
    <t>Program</t>
  </si>
  <si>
    <t>Program Type (Selective/ Indicated)</t>
  </si>
  <si>
    <t>Number Of Youth "At Risk" For SA</t>
  </si>
  <si>
    <t>Active Parenting Now</t>
  </si>
  <si>
    <t>Selective</t>
  </si>
  <si>
    <t>Active Parenting of Teens</t>
  </si>
  <si>
    <t>Dare To Be You</t>
  </si>
  <si>
    <t>Early Risers, Skills for Success</t>
  </si>
  <si>
    <t>Indicated</t>
  </si>
  <si>
    <t>Nurturing Parent Programs</t>
  </si>
  <si>
    <t>Positive Action</t>
  </si>
  <si>
    <t>Project Alert</t>
  </si>
  <si>
    <t>Project SUCCESS</t>
  </si>
  <si>
    <t>Reconnecting Youth</t>
  </si>
  <si>
    <t>Strengthening Families, 10-14</t>
  </si>
  <si>
    <t>Strengthening Families, 6-11</t>
  </si>
  <si>
    <t>All Stars</t>
  </si>
  <si>
    <t>All Stars Junior</t>
  </si>
  <si>
    <t>Children in the Middle</t>
  </si>
  <si>
    <t>Good Touch, Bad Touch</t>
  </si>
  <si>
    <t>Hip Hop to Prevent SA/HIV</t>
  </si>
  <si>
    <t>I'm Special</t>
  </si>
  <si>
    <t>Keepin It Real</t>
  </si>
  <si>
    <t>Parenting Wisely</t>
  </si>
  <si>
    <t>Prime For Life</t>
  </si>
  <si>
    <t>Project Towards No Drug Abuse (I)</t>
  </si>
  <si>
    <t>Project Venture</t>
  </si>
  <si>
    <t>Staying Connected With Your Teen</t>
  </si>
  <si>
    <t>Storytelling for Empowerment</t>
  </si>
  <si>
    <t>Teen Intervene</t>
  </si>
  <si>
    <t>Project Towards No Drug Abuse (S)</t>
  </si>
  <si>
    <t>Evidence-Based "Selective" and "Indicated" SA Prevention Programs</t>
  </si>
  <si>
    <t>SA_EBP</t>
  </si>
  <si>
    <t>SA_EBP_Lookup</t>
  </si>
  <si>
    <t>July 2013</t>
  </si>
  <si>
    <t>Prevalence</t>
  </si>
  <si>
    <t xml:space="preserve">Total </t>
  </si>
  <si>
    <t>Population</t>
  </si>
  <si>
    <t>Ages 6-11</t>
  </si>
  <si>
    <t>Ages 12-17</t>
  </si>
  <si>
    <t>"At Risk"</t>
  </si>
  <si>
    <t>Ages 6-17</t>
  </si>
  <si>
    <t>State Total</t>
  </si>
  <si>
    <t>2.3 Timely Support For Persons With Intellectual or Developmental Disabilities</t>
  </si>
  <si>
    <t>State/Federal Block Grant</t>
  </si>
  <si>
    <t>Payer</t>
  </si>
  <si>
    <t>Combined (Includes Cross-Overs Between Payers)</t>
  </si>
  <si>
    <t>PENETRATION</t>
  </si>
  <si>
    <t>3.1 Persons Served:  Medicaid Enrollees</t>
  </si>
  <si>
    <t>Ages 3-17</t>
  </si>
  <si>
    <t>Ages 21+</t>
  </si>
  <si>
    <t>Child MH</t>
  </si>
  <si>
    <t>Adult MH</t>
  </si>
  <si>
    <t>Ages 18+</t>
  </si>
  <si>
    <t>Age-Disability Group:</t>
  </si>
  <si>
    <t>Age Group:</t>
  </si>
  <si>
    <t>Child SA</t>
  </si>
  <si>
    <t>Adult SA</t>
  </si>
  <si>
    <t>Child IDD</t>
  </si>
  <si>
    <t>Adult IDD</t>
  </si>
  <si>
    <t>Number That Received At Least One MH/IDD/SA Service</t>
  </si>
  <si>
    <t>Percent That Received At Least One MH/IDD/SA Service</t>
  </si>
  <si>
    <t>All Ages (Ages 3+)</t>
  </si>
  <si>
    <t>All Disabilities (MH/IDD/SA)</t>
  </si>
  <si>
    <t>Number
Completed</t>
  </si>
  <si>
    <t>Population
(Ages 6-17)</t>
  </si>
  <si>
    <t>Percent Of Youth
"At Risk" That Completed A Program</t>
  </si>
  <si>
    <t>Number Of Uninsured Population</t>
  </si>
  <si>
    <t>July 2013 Population Estimate</t>
  </si>
  <si>
    <t>2011 Percent Uninsured</t>
  </si>
  <si>
    <t>July 2013 Uninsured Population</t>
  </si>
  <si>
    <t>County Name</t>
  </si>
  <si>
    <t>Urban vs. Rural</t>
  </si>
  <si>
    <t>Total Population</t>
  </si>
  <si>
    <t>Children 
(Ages 0-2)</t>
  </si>
  <si>
    <t>Children 
(Ages 3-17)</t>
  </si>
  <si>
    <t>Adults 
(Age 18)</t>
  </si>
  <si>
    <t>Adults 
(Ages 19-20)</t>
  </si>
  <si>
    <t>Adults 
(Ages 21-64)</t>
  </si>
  <si>
    <t>Adults 
(Ages 65+)</t>
  </si>
  <si>
    <t>NonElderly Population (Ages 3-64)</t>
  </si>
  <si>
    <t>Children UnInsured (Ages 0-18)</t>
  </si>
  <si>
    <t>Adults UnInsured (Ages 19-64)</t>
  </si>
  <si>
    <t>NonElderly UnInsured (Ages 0-64)</t>
  </si>
  <si>
    <t>Adults 
(Ages 18-20)</t>
  </si>
  <si>
    <t>NonElderly  Adults 
(Ages 21-64)</t>
  </si>
  <si>
    <t>NonElderly Adults 
(Ages 18-64)</t>
  </si>
  <si>
    <t>NonElderly UnInsured Population (Ages 3-64)</t>
  </si>
  <si>
    <t>Urban</t>
  </si>
  <si>
    <t>Rural</t>
  </si>
  <si>
    <t>Calculated based on July 2011 Population</t>
  </si>
  <si>
    <t>North Carolina</t>
  </si>
  <si>
    <t>Population Data Source:  NC Office of State Budget and Management (OSBM) website.  http://www.osbm.state.nc.us/demog/countytotals_singleage_2013.html.  Last updated:  4/18/13    Downloaded: 7/18/13.</t>
  </si>
  <si>
    <t>NC County-Level Estimates of Non-Elderly Uninsured:  NC Institute of Medicine 2010-2011 Data Snapshot, http://nciom.org/wp-content/uploads/2010/08/County-Level_Estimates_10-11.pdf, released 1/4/13.</t>
  </si>
  <si>
    <t>NC Rural Economic Development Center defines urban and rural based on population density as of the 2010 Census of Population.  According to their website (8/22/12), 80 rural counties have an average population density of ≤250 persons per square mile.  5 transitional counties (Henderson, Iredell, Lincoln, Pitt, and Union) have population densities ≥250 persons per square mile but  retain rural characteristics (e.g. 66% live in areas ≤250 persons per square mile)  and  are classified as rural.  The other urban counties contain &gt;250 persons per square mile (http://www.ncruralcenter.org).  Counties in this table are defined based on the same population density criteria using July 2013 population projections.</t>
  </si>
  <si>
    <t>Smoky Mountain Center</t>
  </si>
  <si>
    <t>LME-MCO Name</t>
  </si>
  <si>
    <t>Ages 21-64</t>
  </si>
  <si>
    <t>Ages 18-64</t>
  </si>
  <si>
    <t>Non-Elderly Uninsured (Ages 3-64)</t>
  </si>
  <si>
    <t>SFY2014 Non-Elderly Uninsured Population (Performance Measure Age Groups)</t>
  </si>
  <si>
    <t>Grand Total</t>
  </si>
  <si>
    <t>Children (Ages 3-17)</t>
  </si>
  <si>
    <t>Adults (Ages 18-20)</t>
  </si>
  <si>
    <t>NonElderly Adults (Ages 21-64)</t>
  </si>
  <si>
    <t>Total NonElderly UnInsured Population (Ages 3-64)</t>
  </si>
  <si>
    <t>LME-MCOs and Counties</t>
  </si>
  <si>
    <t>(Based on NC OSBM July 2013 Population and Most Recent Available NC IOM Uninsured Estimates (2011, published Jan 2013)</t>
  </si>
  <si>
    <t>Enter data for the measurement period in applicable yellow shaded cells in Table 1.</t>
  </si>
  <si>
    <t>Enter data for the State Fiscal Year-To-Date in applicable yellow shaded cells in Table 2.</t>
  </si>
  <si>
    <t>Table 2</t>
  </si>
  <si>
    <t>Table 1</t>
  </si>
  <si>
    <t>INITIATION AND ENGAGEMENT</t>
  </si>
  <si>
    <t>Number With 2nd Service Or Visit &gt; 14 Days</t>
  </si>
  <si>
    <t>Total Number with an Initial Service Or Visit (New Episode of Care)</t>
  </si>
  <si>
    <t>Number With No 2nd Service Or Visit</t>
  </si>
  <si>
    <r>
      <rPr>
        <b/>
        <u/>
        <sz val="10"/>
        <rFont val="Arial"/>
        <family val="2"/>
      </rPr>
      <t>Engagement</t>
    </r>
    <r>
      <rPr>
        <b/>
        <sz val="10"/>
        <rFont val="Arial"/>
        <family val="2"/>
      </rPr>
      <t>:
Percent With 2 Or More Services Or Visits ≤ 30 Days After Initiation</t>
    </r>
  </si>
  <si>
    <r>
      <rPr>
        <b/>
        <u/>
        <sz val="10"/>
        <rFont val="Arial"/>
        <family val="2"/>
      </rPr>
      <t>Initiation</t>
    </r>
    <r>
      <rPr>
        <b/>
        <sz val="10"/>
        <rFont val="Arial"/>
        <family val="2"/>
      </rPr>
      <t>: 
Percent With 2nd Service Or Visit ≤ 14 Days</t>
    </r>
  </si>
  <si>
    <t>21+</t>
  </si>
  <si>
    <t>Number With 2nd Service Or Visit ≤ 14 Days</t>
  </si>
  <si>
    <t>Number With 2 Or More Services Or Visits ≤ 30 Days After Initiation</t>
  </si>
  <si>
    <t>18+</t>
  </si>
  <si>
    <t>Engagement:
Percent With 2 Or More Services Or Visits ≤ 30 Days After Initiation</t>
  </si>
  <si>
    <t>Numerator1</t>
  </si>
  <si>
    <t>Numerator2</t>
  </si>
  <si>
    <t>Rate1</t>
  </si>
  <si>
    <t>Rate2</t>
  </si>
  <si>
    <t>Initiation: 
Percent With 2nd Service Or Visit ≤ 14 Days</t>
  </si>
  <si>
    <t>4.1. Initiation and Engagement of Substance Abuse Treatment (By Age Group)</t>
  </si>
  <si>
    <t>4.1. Initiation and Engagement of Substance Abuse Treatment (By County, Ages 13+)</t>
  </si>
  <si>
    <t>Payer:</t>
  </si>
  <si>
    <t>County names and Uninsured Population automatically populate when LME-MCO name is entered in the Set-Up worksheet.</t>
  </si>
  <si>
    <t>Performance Measurement Reporting</t>
  </si>
  <si>
    <t>-MCO Quarterly Performance Measures</t>
  </si>
  <si>
    <t>MENT</t>
  </si>
  <si>
    <t>ment of Substance Abuse Treatment (By County, Ages 13+)</t>
  </si>
  <si>
    <t>-Medicaid (State and Federal Block Grant Funded)</t>
  </si>
  <si>
    <t>icaid Enrollees</t>
  </si>
  <si>
    <t>4.2. Initiation and Engagement of Mental Health Treatment (By Age Group)</t>
  </si>
  <si>
    <t>CONTINUITY OF CARE</t>
  </si>
  <si>
    <t>CRISIS AND INPATIENT SERVICES</t>
  </si>
  <si>
    <t>5.1 Short-Term Care In State Psychiatric Hospitals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</si>
  <si>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lengths of stay will be calculated and reported in groupings of 1-7 days, 8-30 days, 31-365 days, and over 365 days.  Data is reported by LME-MCO for all ages combined and is not reported by funding source.</t>
  </si>
  <si>
    <t>5.2 Crisis Care in Emergency Departments</t>
  </si>
  <si>
    <t>5.3  Length of Stay in Community Psychiatric Hospitals (Principal MH Diagnosis)</t>
  </si>
  <si>
    <t>Combined</t>
  </si>
  <si>
    <t>munity Psychiatric Hospitals (Principal MH Diagnosis)</t>
  </si>
  <si>
    <t>ERVICES</t>
  </si>
  <si>
    <t>5.4  Length of Stay in Community Psychiatric Hospitals (Principal SA Diagnosis)</t>
  </si>
  <si>
    <t>munity Psychiatric Hospitals (Principal SA Diagnosis)</t>
  </si>
  <si>
    <t>CRISIS AND INPATIENT</t>
  </si>
  <si>
    <t>5.5  Emergency Department Readmissions (Medicaid Only)</t>
  </si>
  <si>
    <t>nt Readmissions (Medicaid Only)</t>
  </si>
  <si>
    <t>1.1. Selective and Indicated SA Prevention Services</t>
  </si>
  <si>
    <t>Prevention and Early Intervention Indicators</t>
  </si>
  <si>
    <t>Timely Access To Care</t>
  </si>
  <si>
    <t>2.1. Urgent     2.2. Routine</t>
  </si>
  <si>
    <t>2.3.  Timely Support for Persons with IDD</t>
  </si>
  <si>
    <t>Penetration Rate Indicators</t>
  </si>
  <si>
    <t>3.2. Persons Served:  Uninsured Population</t>
  </si>
  <si>
    <t>3.1. Penetration: Medicaid Enrollees Served</t>
  </si>
  <si>
    <t>Timely Initiation and Engagement in Service</t>
  </si>
  <si>
    <t xml:space="preserve">4.1. Initiation and Engagement in SA Treatment     </t>
  </si>
  <si>
    <t>4.2  Initiation and Engagement in MH Treatment</t>
  </si>
  <si>
    <t>Crisis and Inpatient Services</t>
  </si>
  <si>
    <t>5.1.  Short Term Care In State Psychiatric Hospitals</t>
  </si>
  <si>
    <t>5.2. Crisis Care in Emergency Departments</t>
  </si>
  <si>
    <t>5.3.  LOS in Community Psych Hospitals (MH)</t>
  </si>
  <si>
    <t>5.4.  LOS in Community SA Facilities (SA)</t>
  </si>
  <si>
    <t>5.5. ED Readmissions within 30 Days</t>
  </si>
  <si>
    <t>5.6. State Hospital Readmissions within 30 days</t>
  </si>
  <si>
    <t>5.7. Community MH Inpatient Readmissions within 30 days</t>
  </si>
  <si>
    <t>5.8. State ADATC Readmissions within 30 days</t>
  </si>
  <si>
    <t>5.8. State ADATC Readmissions within 180 days</t>
  </si>
  <si>
    <t>5.6. State Hospital Readmissions within 180 days</t>
  </si>
  <si>
    <t>5.9. Community SA Inpatient Readmissions within 30 days</t>
  </si>
  <si>
    <t>Continuity of Care</t>
  </si>
  <si>
    <t>6.1. Follow-Up After Discharge: State Psychiatric Hospitals</t>
  </si>
  <si>
    <t>6.3. Follow-Up After Discharge: State ADATCs</t>
  </si>
  <si>
    <t>6.2. Follow-Up After Discharge: Community MH Inpatient</t>
  </si>
  <si>
    <t>6.4. Follow-Up After Discharge: Community SA Inpatient</t>
  </si>
  <si>
    <t>6.5. Follow-Up After Discharge: Community Crisis Service</t>
  </si>
  <si>
    <t>6.6.  Medical Care Coordination</t>
  </si>
  <si>
    <t>Hide</t>
  </si>
  <si>
    <t>Measures to Hide</t>
  </si>
  <si>
    <t>5.6 State Psychiatric Hospital Readmissions within 30 Days and 180 Days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</si>
  <si>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</si>
  <si>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3.2 Persons Served:  Non-Medicaid (State and Federal Block Grant Funded)</t>
  </si>
  <si>
    <t>30-Day Readmissions:</t>
  </si>
  <si>
    <t>180-Day Readmissions:</t>
  </si>
  <si>
    <t>5.7.  Community Mental Health Inpatient Readmissions Within 30 Days (Ages 6+)</t>
  </si>
  <si>
    <t>5.7.  Community Mental Health Facility Based Crisis Readmissions Within 30 Days (Ages 6+)</t>
  </si>
  <si>
    <t>5.7.  Community Mental Health PRTF Readmissions Within 30 Days (Ages 6+)</t>
  </si>
  <si>
    <t>5.7.  Community Mental Health Combined Inpatient, FBC, and PRTF Readmissions Within 30 Days (Ages 6+) [Includes Cross-Overs Between Services]</t>
  </si>
  <si>
    <t>5.8 State ADATC Readmissions within 30 Days and 180 Days</t>
  </si>
  <si>
    <t>DMH/DD/SAS will calculate and report this measure from state Alcohol and Drug Abuse Treatment Center (ADATC)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</si>
  <si>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5.9.  Community Substance Abuse Inpatient Readmissions Within 30 Days (Ages 6+)</t>
  </si>
  <si>
    <t>5.9.  Community Substance Abuse Detox/Facility Based Crisis Readmissions Within 30 Days (Ages 6+)</t>
  </si>
  <si>
    <t>5.9.  Community Substance Abuse Combined Inpatient and Detox/FBC Readmissions Within 30 Days (Ages 6+) [Includes Cross-Overs Between Services]</t>
  </si>
  <si>
    <t>6.1 Follow-Up After Discharge: State Psychiatric Hospitals</t>
  </si>
  <si>
    <t>0-7 Days</t>
  </si>
  <si>
    <t>8-30 Days</t>
  </si>
  <si>
    <t>Total Discharges</t>
  </si>
  <si>
    <t>Number of Days Following Discharge the Person Was Seen</t>
  </si>
  <si>
    <t>Not Seen*</t>
  </si>
  <si>
    <t>* Not Seen by the claims paid cutoff date for the measure.</t>
  </si>
  <si>
    <t>6.3 Follow-Up After Discharge: State Alcohol and Drug Abuse Treatment Centers (ADATCs)</t>
  </si>
  <si>
    <t>Total Number Received Outpatient Visit &gt; 30 days</t>
  </si>
  <si>
    <t>Total Number Not Seen*</t>
  </si>
  <si>
    <t>harge:  Community Mental Health Inpatient Treatment (Hospital, Ages 6+)</t>
  </si>
  <si>
    <t>6.2.   Follow-Up After Discharge:  Community Mental Health Inpatient Treatment (Hospital, Ages 6+)</t>
  </si>
  <si>
    <t>6.4.   Follow-Up After Discharge:  Community Substance Abuse Inpatient Treatment (Ages 6+)</t>
  </si>
  <si>
    <t>harge:  Community Substance Abuse Inpatient Treatment (Ages 6+)</t>
  </si>
  <si>
    <t>Table 3</t>
  </si>
  <si>
    <t>Detox and Facility Based Crisis (SA)</t>
  </si>
  <si>
    <t>Inpatient Hospital (SA)</t>
  </si>
  <si>
    <t>Combined Inpatient Hospital, Detox, and Facility Based Crisis (SA) (Including Crossovers Between Services)</t>
  </si>
  <si>
    <t>6.5.   Follow-Up After Discharge From A Community Crisis Service (Ages 6+)</t>
  </si>
  <si>
    <t>harge From A Community Crisis Service (Ages 6+)</t>
  </si>
  <si>
    <t>DMH/DD/SAS will extract summary data from the NC Prevention Outcomes Performance System (NC-POPS)* on the number of youth who completed an evidence-based "Selective" or "Indicated" Substance Abuse Prevention Program (by LME-MCO and program) during the moving one-year measurement period and will calculate this performance measure. LME-MCO can use this template to internally produce results for this measure.  Population and "At Risk" numbers self-populate based on LME-MCO name entered in the Set-Up Worksheet and the SA Prevention Population table in the Data Validation Worksheet.</t>
  </si>
  <si>
    <t>* If NC-POPS data is unavailable, DMH/DD/SAS will compile program completion results from LME-MCO semi-annual SAPTBG reports.</t>
  </si>
  <si>
    <t>County names will automatically populate when LME-MCO name is entered in the Set-Up worksheet.</t>
  </si>
  <si>
    <t>ment of Substance Abuse Treatment (By Age Group)</t>
  </si>
  <si>
    <t>ment Mental Health Treatment (By Age Group)</t>
  </si>
  <si>
    <t>Total Number
Inpatient Days</t>
  </si>
  <si>
    <t>6.6 Medical Care Coordination (Medicaid Only)</t>
  </si>
  <si>
    <r>
      <t xml:space="preserve">This worksheet contains data validation and look-up lists used in the drop-down boxes and measures.  </t>
    </r>
    <r>
      <rPr>
        <b/>
        <sz val="12"/>
        <color rgb="FFFF0000"/>
        <rFont val="Arial"/>
        <family val="2"/>
      </rPr>
      <t>Please</t>
    </r>
    <r>
      <rPr>
        <b/>
        <sz val="12"/>
        <color theme="3" tint="-0.249977111117893"/>
        <rFont val="Arial"/>
        <family val="2"/>
      </rPr>
      <t xml:space="preserve"> </t>
    </r>
    <r>
      <rPr>
        <b/>
        <sz val="12"/>
        <color rgb="FFFF0000"/>
        <rFont val="Arial"/>
        <family val="2"/>
      </rPr>
      <t>DO NOT ALTER</t>
    </r>
    <r>
      <rPr>
        <b/>
        <sz val="12"/>
        <color theme="3" tint="-0.249977111117893"/>
        <rFont val="Arial"/>
        <family val="2"/>
      </rPr>
      <t>.</t>
    </r>
  </si>
  <si>
    <r>
      <rPr>
        <b/>
        <sz val="11"/>
        <color rgb="FFFF0000"/>
        <rFont val="Arial"/>
        <family val="2"/>
        <scheme val="minor"/>
      </rPr>
      <t>PLEASE DO NOT ALTER OR DELETE.</t>
    </r>
    <r>
      <rPr>
        <b/>
        <sz val="11"/>
        <color theme="1"/>
        <rFont val="Arial"/>
        <family val="2"/>
        <scheme val="minor"/>
      </rPr>
      <t xml:space="preserve">  </t>
    </r>
    <r>
      <rPr>
        <b/>
        <sz val="11"/>
        <color theme="3" tint="-0.249977111117893"/>
        <rFont val="Arial"/>
        <family val="2"/>
        <scheme val="minor"/>
      </rPr>
      <t xml:space="preserve">Measure 3.2 (Penetration) contains lookup formulas that use this worksheet to automatically enter uninsured population data. </t>
    </r>
  </si>
  <si>
    <t>Prior to the October 1, 2013 Merger of Western Highlands Network with Smoky Mountain Center</t>
  </si>
  <si>
    <t>After the October 1, 2013 Merger of Western Highlands Network with Smoky Mountain Center</t>
  </si>
  <si>
    <t>4.2. Initiation and Engagement of Mental Health Treatment (By County, Ages 3+)</t>
  </si>
  <si>
    <t>ment of Mental Health Treatment (By County, Ages 3+)</t>
  </si>
  <si>
    <t>3-17</t>
  </si>
  <si>
    <t>DMH/DD/SAS will calculate and report the number and percent of admissions to an emergency department during the measurement quarter that have a primary MH/IDD/SA diagnosis that have been reported by hospital and VA medical center emergency departments participating in the NC-DETECT system.  DMH/DD/SAS will report this measure by LME-MCO, by county, by age-disability group, and by sex.  This measure ignores payer.</t>
  </si>
  <si>
    <t>Number That Received At Least One Service</t>
  </si>
  <si>
    <t>Percent That Received At Least One Service</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</si>
  <si>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30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</si>
  <si>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&gt;30 Days</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</si>
  <si>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60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</si>
  <si>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Total Number Received Outpatient Visit 0 - 7 days</t>
  </si>
  <si>
    <t>Total Number Received Outpatient Visit 0 - 30 days</t>
  </si>
  <si>
    <t>Percent Received Outpatient Visit 0 - 7 Days</t>
  </si>
  <si>
    <t>Percent Received Outpatient Visit 0 - 30 Days</t>
  </si>
  <si>
    <t>Total Number Received Follow-Up &gt; 14 days</t>
  </si>
  <si>
    <t>Total Number 
Not Seen*</t>
  </si>
  <si>
    <t>Total Number Received Follow-Up Within 0-3 days</t>
  </si>
  <si>
    <t>Total Number Received Follow-Up Within 4-5 days</t>
  </si>
  <si>
    <t>Total Number Received Follow-Up Within 6-14 days</t>
  </si>
  <si>
    <t>Percent 
Received Follow-Up Within 0-3 Days</t>
  </si>
  <si>
    <t>Enter data for the measurement period in applicable yellow shaded cells.</t>
  </si>
  <si>
    <r>
      <t xml:space="preserve">Dates that display years will automatically update based on the SFY entered </t>
    </r>
    <r>
      <rPr>
        <sz val="10"/>
        <color indexed="12"/>
        <rFont val="Wingdings 3"/>
        <family val="1"/>
        <charset val="2"/>
      </rPr>
      <t>Æ</t>
    </r>
  </si>
  <si>
    <t>Total (3+)</t>
  </si>
  <si>
    <t>Other</t>
  </si>
  <si>
    <t>LME-MCO submits report data:</t>
  </si>
  <si>
    <t>The DMHDDSAS Performance Measure Report is published quarterly:</t>
  </si>
  <si>
    <t>DMHDDSAS Quarterly Performance Measure Report Schedule</t>
  </si>
  <si>
    <t>SFY2015 Non-Elderly Uninsured Population (Performance Measure Age Groups)</t>
  </si>
  <si>
    <t>July 2014 Population Estimate</t>
  </si>
  <si>
    <t>July 2014 Uninsured Population</t>
  </si>
  <si>
    <t>Population Data Source:  NC Office of State Budget and Management (OSBM) website.  http://www.osbm.state.nc.us/demog/countytotals_singleage_2014.html.  Last updated:  4/24/14    Downloaded: 5/9/14.</t>
  </si>
  <si>
    <t>(Based on NC OSBM July 2014 Population and Most Recent Available NC IOM Uninsured Estimates (2011, published Jan 2013)</t>
  </si>
  <si>
    <t>July 2014 LME-MCO Configuration</t>
  </si>
  <si>
    <t>SA_Prevention_Pop_2014            1</t>
  </si>
  <si>
    <t>July 2014</t>
  </si>
  <si>
    <t>SA_Prevention_Pop_2015            1</t>
  </si>
  <si>
    <t>1st Quarter</t>
  </si>
  <si>
    <t>LME-MCOs will provide data on calls to the LME-MCO's call center(s) requesting MH/DD/SA services that were in need of urgent care and the number that received a face-to-face service within 48 hours of the request for care on a form provided by DMH/DD/SAS.  Form and instructions are published on the DMH/DD/SAS website: http://www.ncdhhs.gov/mhddsas/statspublications/Forms/index.htm.</t>
  </si>
  <si>
    <t>LME-MCOs will provide data on calls to the LME-MCO's call center(s) requesting MH/DD/SA services that were in need of routine care and the number that received a face-to-face service within 14 calendar days of the request for care and the average days from screening until the person was seen for those who received a routine service on a form provided by DMH/DD/SAS.  Form and instructions are published on the DMH/DD/SAS website: http://www.ncdhhs.gov/mhddsas/statspublications/Forms/index.htm.</t>
  </si>
  <si>
    <t>Includes former Western Highlands Network counties.</t>
  </si>
  <si>
    <t>County_Lookup_MC  (Used to automatically list counties for Medicaid measures that do not allow an "Other" county)</t>
  </si>
  <si>
    <t>County_Lookup  (Used to automatically list counties and include "Other" county)</t>
  </si>
  <si>
    <t>Note:  The sum of the numbers in column B + column C + column D should equal the number in column F.</t>
  </si>
  <si>
    <t>Note:  The sum of the numbers in column I + column J + column K should equal the number in column M.</t>
  </si>
  <si>
    <t>Note:  The sum of the numbers in column P + column Q + column R should equal the number in column T.</t>
  </si>
  <si>
    <t>Note:  The sum of the numbers in column C + column D + column E should equal total discharges in column F.</t>
  </si>
  <si>
    <t>Note:  The sum of the numbers in column J + column K + column L should equal total discharges in column M.</t>
  </si>
  <si>
    <t>Note:  The sum of the numbers in column Q + column R + column S should equal total discharges in column T.</t>
  </si>
  <si>
    <t>Due To DMH/DD/SAS*</t>
  </si>
  <si>
    <t>* If the due date falls on a weekend or holiday, adjust the date due to the next workday.</t>
  </si>
  <si>
    <t>Cardinal Innovations - MeckLINK</t>
  </si>
  <si>
    <t>Does not include the former MeckLINK BH (merged 4/1/14).  MeckLINK is reported separately below.</t>
  </si>
  <si>
    <t>Includes the former MeckLINK BH (merged 4/1/14).</t>
  </si>
  <si>
    <t>Trillium Health Resources</t>
  </si>
  <si>
    <t>Replaces ECBH and CoastalCare 7/1/15</t>
  </si>
  <si>
    <t>SA_Prevention_Pop_2016            1</t>
  </si>
  <si>
    <t>July 2015</t>
  </si>
  <si>
    <t>Total
Population</t>
  </si>
  <si>
    <t>Uninsured Children (Ages 3-17)</t>
  </si>
  <si>
    <t>Uninsured NonElderly Adults (Ages 18-20)</t>
  </si>
  <si>
    <t>Uninsured NonElderly Adults (Ages 21-64)</t>
  </si>
  <si>
    <t>Total Uninsured NonElderly Population (Ages 3-64)</t>
  </si>
  <si>
    <t>July 2015 Population Estimate</t>
  </si>
  <si>
    <t>July 2015 Estimated Uninsured Population</t>
  </si>
  <si>
    <t>SFY2016 Non-Elderly Uninsured Population (Performance Measure Age Groups)</t>
  </si>
  <si>
    <r>
      <t>Footnotes and columns indicated are linked to the "</t>
    </r>
    <r>
      <rPr>
        <b/>
        <sz val="11"/>
        <color theme="3" tint="-0.249977111117893"/>
        <rFont val="Arial"/>
        <family val="2"/>
        <scheme val="minor"/>
      </rPr>
      <t>Results By County"</t>
    </r>
    <r>
      <rPr>
        <sz val="11"/>
        <color theme="3" tint="-0.249977111117893"/>
        <rFont val="Arial"/>
        <family val="2"/>
        <scheme val="minor"/>
      </rPr>
      <t xml:space="preserve"> worksheet.</t>
    </r>
  </si>
  <si>
    <t>Linked</t>
  </si>
  <si>
    <t>2013 Percent Uninsured</t>
  </si>
  <si>
    <t>Children
UnInsured
(Ages 0-18)</t>
  </si>
  <si>
    <t>Adults
UnInsured
(Ages 18-64)</t>
  </si>
  <si>
    <t>NonElderly
UnInsured
(Ages 0-64)</t>
  </si>
  <si>
    <t>(Based on NC OSBM July 2015 Population and Most Recent Available US Census Bureau SAHIE 2013 Uninsured Estimates, 
published March 2015, downloaded 6/16/15)</t>
  </si>
  <si>
    <r>
      <t xml:space="preserve">● </t>
    </r>
    <r>
      <rPr>
        <b/>
        <sz val="11"/>
        <color theme="1"/>
        <rFont val="Arial"/>
        <family val="2"/>
        <scheme val="minor"/>
      </rPr>
      <t>Population Data Source:</t>
    </r>
    <r>
      <rPr>
        <sz val="10"/>
        <rFont val="Arial"/>
        <family val="2"/>
      </rPr>
      <t xml:space="preserve">  NC Office of State Budget and Management (OSBM) website.  http://www.osbm.state.nc.us/demog/countytotals_singleage_2015.html.  Last updated:  10/13/14    Downloaded: 5/6/15.</t>
    </r>
  </si>
  <si>
    <r>
      <t xml:space="preserve">● </t>
    </r>
    <r>
      <rPr>
        <b/>
        <sz val="11"/>
        <color theme="1"/>
        <rFont val="Arial"/>
        <family val="2"/>
        <scheme val="minor"/>
      </rPr>
      <t xml:space="preserve">NC County-Level Estimates of Non-Elderly Uninsured: </t>
    </r>
    <r>
      <rPr>
        <sz val="10"/>
        <rFont val="Arial"/>
        <family val="2"/>
      </rPr>
      <t xml:space="preserve"> Model-based Small Area Health Insurance Estimates (SAHIE) for Counties and States 2013. Produced by the U.S. Census Bureau/Small Area Health Insurance (SAHIE) Program/March 2015 (http://www.census.gov/did/www/sahie/data/20082013/index.html) Downloaded 6/16/15.</t>
    </r>
  </si>
  <si>
    <r>
      <rPr>
        <b/>
        <sz val="11"/>
        <color theme="1"/>
        <rFont val="Arial"/>
        <family val="2"/>
        <scheme val="minor"/>
      </rPr>
      <t xml:space="preserve">Urban vs. Rural Counties: </t>
    </r>
    <r>
      <rPr>
        <sz val="11"/>
        <rFont val="Arial"/>
        <family val="2"/>
      </rPr>
      <t xml:space="preserve"> The methodology for designating Urban and Rural counties has changed.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February 2013 delineations, http://www.census.gov/population/metro/data/def.html, Internet Release Date: March 2013, Downloaded 10/22/14. </t>
    </r>
  </si>
  <si>
    <r>
      <rPr>
        <b/>
        <sz val="11"/>
        <color theme="1"/>
        <rFont val="Arial"/>
        <family val="2"/>
        <scheme val="minor"/>
      </rPr>
      <t>NC County-Level Estimates of Non-Elderly Uninsured:</t>
    </r>
    <r>
      <rPr>
        <sz val="11"/>
        <rFont val="Arial"/>
        <family val="2"/>
      </rPr>
      <t xml:space="preserve">  Model-based Small Area Health Insurance Estimates (SAHIE) for Counties and States 2013. Produced by the U.S. Census Bureau/Small Area Health Insurance (SAHIE) Program/March 2015 (http://www.census.gov/did/www/sahie/data/20082013/index.html) Downloaded 6/16/15.</t>
    </r>
  </si>
  <si>
    <r>
      <rPr>
        <b/>
        <sz val="11"/>
        <color theme="1"/>
        <rFont val="Arial"/>
        <family val="2"/>
        <scheme val="minor"/>
      </rPr>
      <t>Population Data Source:</t>
    </r>
    <r>
      <rPr>
        <sz val="11"/>
        <rFont val="Arial"/>
        <family val="2"/>
      </rPr>
      <t xml:space="preserve">  NC Office of State Budget and Management (OSBM) website.  http://www.osbm.state.nc.us/demog/countytotals_singleage_2015.html.  Last updated:  10/13/14    Downloaded: 5/6/15.</t>
    </r>
  </si>
  <si>
    <r>
      <rPr>
        <sz val="11"/>
        <color theme="1"/>
        <rFont val="Arial"/>
        <family val="2"/>
      </rPr>
      <t xml:space="preserve">● </t>
    </r>
    <r>
      <rPr>
        <b/>
        <sz val="11"/>
        <color theme="1"/>
        <rFont val="Arial"/>
        <family val="2"/>
      </rPr>
      <t>Number of Uninsured:</t>
    </r>
    <r>
      <rPr>
        <b/>
        <sz val="10"/>
        <color theme="1"/>
        <rFont val="Arial"/>
        <family val="2"/>
      </rPr>
      <t xml:space="preserve"> </t>
    </r>
    <r>
      <rPr>
        <sz val="10"/>
        <color theme="1"/>
        <rFont val="Arial"/>
        <family val="2"/>
        <scheme val="minor"/>
      </rPr>
      <t>Applied the SAHIE 2013 percentages of non-elderly uninsured by county to the July 2015 population by county for each age group and total to calculate the estimated number of non-elderly uninsured by age group at the beginning of SFY2016.</t>
    </r>
  </si>
  <si>
    <t>Number Of ED Admissions</t>
  </si>
  <si>
    <t>Number That Are Readmissions
≤ 30 Days</t>
  </si>
  <si>
    <t>Percent That Are Readmissions
≤ 30 Days</t>
  </si>
  <si>
    <t>Number Continuously Enrolled Persons That Received ≥1 MH/SA Service During The Measurement Period</t>
  </si>
  <si>
    <t>Percent Of Members Receiving MH/SA Services That Received An Ambulatory Or Preventive Care Visit</t>
  </si>
  <si>
    <t>Number Continuously Enrolled Persons That Received ≥1 IDD Service During The Measurement Period</t>
  </si>
  <si>
    <t>Percent Of Members Receiving IDD Services That Received An Ambulatory Or Preventive Care Visit</t>
  </si>
  <si>
    <t>MH/SA
Ages 3-17</t>
  </si>
  <si>
    <t>MH/SA
Ages 18-20</t>
  </si>
  <si>
    <t>MH/SA
Ages 21+</t>
  </si>
  <si>
    <t>MH/SA
Ages 18+</t>
  </si>
  <si>
    <t>MH/SA
Total (Ages 3+)</t>
  </si>
  <si>
    <t>IDD
Ages 3-17</t>
  </si>
  <si>
    <t>IDD
Ages 18-20</t>
  </si>
  <si>
    <t>IDD
Ages 21+</t>
  </si>
  <si>
    <t>IDD
Ages 18+</t>
  </si>
  <si>
    <t>IDD
Total (Ages 3+)</t>
  </si>
  <si>
    <t>MH/IDD/SA
Ages 3-17</t>
  </si>
  <si>
    <t>MH/IDD/SA
Ages 18-20</t>
  </si>
  <si>
    <t>MH/IDD/SA
Ages 21+</t>
  </si>
  <si>
    <t>MH/IDD/SA
Ages 18+</t>
  </si>
  <si>
    <t>MH/IDD/SA
Total (Ages 3+)</t>
  </si>
  <si>
    <t>ation (Medicaid Only)</t>
  </si>
  <si>
    <t>Number That Received A Billable Service Within 45 Days Of ISP/PCP Approval</t>
  </si>
  <si>
    <t>Number Whose Initial ISP/PCP Was Approved During The Measurement Period</t>
  </si>
  <si>
    <t>Percent That Received A Billable Service Within 45 Days Of ISP/PCP Approval</t>
  </si>
  <si>
    <r>
      <t>Columns indicated are linked to the "</t>
    </r>
    <r>
      <rPr>
        <b/>
        <sz val="11"/>
        <color theme="3" tint="-0.249977111117893"/>
        <rFont val="Arial"/>
        <family val="2"/>
        <scheme val="minor"/>
      </rPr>
      <t>Results By County"</t>
    </r>
    <r>
      <rPr>
        <sz val="11"/>
        <color theme="3" tint="-0.249977111117893"/>
        <rFont val="Arial"/>
        <family val="2"/>
        <scheme val="minor"/>
      </rPr>
      <t xml:space="preserve"> worksheet.</t>
    </r>
  </si>
  <si>
    <t>Formula</t>
  </si>
  <si>
    <t>SFY2017 Non-Elderly Uninsured Population (Performance Measure Age Groups)</t>
  </si>
  <si>
    <t>July 2016 Population Estimate</t>
  </si>
  <si>
    <t>2014 Percent Uninsured</t>
  </si>
  <si>
    <t>July 2016 Estimated Uninsured Population</t>
  </si>
  <si>
    <r>
      <rPr>
        <b/>
        <sz val="11"/>
        <color theme="1"/>
        <rFont val="Arial"/>
        <family val="2"/>
        <scheme val="minor"/>
      </rPr>
      <t>Population Data Source:</t>
    </r>
    <r>
      <rPr>
        <sz val="10"/>
        <rFont val="Arial"/>
      </rPr>
      <t xml:space="preserve">  NC Office of State Budget and Management (OSBM) website.  http://www.osbm.state.nc.us/demog/countytotals_singleage_2016.html.  Last updated 10/8/15.  Downloaded 2/23/16.</t>
    </r>
  </si>
  <si>
    <r>
      <rPr>
        <b/>
        <sz val="11"/>
        <color theme="1"/>
        <rFont val="Arial"/>
        <family val="2"/>
        <scheme val="minor"/>
      </rPr>
      <t>NC County-Level Estimates of Non-Elderly Uninsured:</t>
    </r>
    <r>
      <rPr>
        <sz val="10"/>
        <rFont val="Arial"/>
      </rPr>
      <t xml:space="preserve">  Model-based Small Area Health Insurance Estimates (SAHIE) for Counties and States 2014. Produced by the U.S. Census Bureau/Small Area Health Insurance (SAHIE) Program/May 2016 (http://www.census.gov/did/www/sahie/data/20082014/index.html) Downloaded 6/23/16.</t>
    </r>
  </si>
  <si>
    <t>SFY2017 Estimate of Non-Elderly Uninsured Population By LME-MCO and County</t>
  </si>
  <si>
    <t>(Based on NC OSBM July 2016 Population Estimates at the beginning of the SFY 
and the most current US Census Bureau SAHIE 2014 Uninsured Estimates, published May 2016)</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</si>
  <si>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2014 percentages of non-elderly uninsured by county to the July 2016 population by county for each age group and total to calculate the estimated number of non-elderly uninsured by age group at the beginning of SFY2017.</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</si>
  <si>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http://www.osbm.state.nc.us/demog/countytotals_singleage_2016.html.  Last updated:  10/8/15    Downloaded: 2/23/16.</t>
    </r>
  </si>
  <si>
    <r>
      <t xml:space="preserve">● </t>
    </r>
    <r>
      <rPr>
        <b/>
        <sz val="10"/>
        <color theme="1"/>
        <rFont val="Arial"/>
        <family val="2"/>
        <scheme val="minor"/>
      </rPr>
      <t xml:space="preserve">NC County-Level Estimates of Non-Elderly Uninsured: </t>
    </r>
    <r>
      <rPr>
        <sz val="10"/>
        <color theme="1"/>
        <rFont val="Arial"/>
        <family val="2"/>
        <scheme val="minor"/>
      </rPr>
      <t xml:space="preserve"> Model-based Small Area Health Insurance Estimates (SAHIE) for Counties and States 2014. Produced by the U.S. Census Bureau/Small Area Health Insurance (SAHIE) Program / May 2016 (http://www.census.gov/did/www/sahie/data/20082014/index.html) Downloaded 6/23/16.</t>
    </r>
  </si>
  <si>
    <r>
      <rPr>
        <b/>
        <sz val="11"/>
        <color theme="1"/>
        <rFont val="Arial"/>
        <family val="2"/>
        <scheme val="minor"/>
      </rPr>
      <t xml:space="preserve">Urban vs. Rural Counties: </t>
    </r>
    <r>
      <rPr>
        <sz val="10"/>
        <rFont val="Arial"/>
      </rPr>
      <t xml:space="preserve"> The methodology for designating Urban and Rural counties changed October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t>
    </r>
  </si>
  <si>
    <t>Merged with Cardinal Innovations 7/1/16 to become part of Cardinal Innovations</t>
  </si>
  <si>
    <t>Replaced ECBH and CoastalCare 7/1/15</t>
  </si>
  <si>
    <t>Cardinal Innovations Healthcare Solutions (&lt;7/1/16)</t>
  </si>
  <si>
    <t>Cardinal Innovations Healthcare Solutions (≥7/1/16)</t>
  </si>
  <si>
    <t>SFY2016 Estimate of Non-Elderly Uninsured Population By LME-MCO and County</t>
  </si>
  <si>
    <t>SFY2015 Estimate of Non-Elderly Uninsured Population By LME-MCO and County</t>
  </si>
  <si>
    <t>SFY2014 Estimate of Non-Elderly Uninsured Population By LME-MCO and County</t>
  </si>
  <si>
    <t>CenterPoint Human Services (&lt;7/1/16)</t>
  </si>
  <si>
    <t>Vaya Health</t>
  </si>
  <si>
    <t>Name change (formerly Smoky Mountain Center) effective 9/16/16</t>
  </si>
  <si>
    <t>SA_Prevention_Pop_2017            1</t>
  </si>
  <si>
    <t>July 2016</t>
  </si>
  <si>
    <t>Includes the former CenterPoint (merged 7/1/16).</t>
  </si>
  <si>
    <t>Reflects name change (formerly Smoky Mountain Center) 9/16/16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</si>
</sst>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409]mmmm\ d\,\ yyyy;@"/>
    <numFmt numFmtId="165" formatCode="0.0%"/>
    <numFmt numFmtId="166" formatCode="#,##0.0"/>
    <numFmt numFmtId="167" formatCode="_(* #,##0_);_(* \(#,##0\);_(* &quot;-&quot;??_);_(@_)"/>
  </numFmts>
  <fonts count="60">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sz val="8"/>
      <color indexed="81"/>
      <name val="Tahoma"/>
      <family val="2"/>
    </font>
    <font>
      <b/>
      <sz val="12"/>
      <name val="Arial"/>
      <family val="2"/>
    </font>
    <font>
      <sz val="10"/>
      <color indexed="12"/>
      <name val="Arial"/>
      <family val="2"/>
    </font>
    <font>
      <sz val="10"/>
      <color indexed="12"/>
      <name val="Wingdings 3"/>
      <family val="1"/>
      <charset val="2"/>
    </font>
    <font>
      <b/>
      <sz val="10"/>
      <color indexed="12"/>
      <name val="Arial"/>
      <family val="2"/>
    </font>
    <font>
      <b/>
      <sz val="10"/>
      <color theme="1"/>
      <name val="Arial"/>
      <family val="2"/>
    </font>
    <font>
      <b/>
      <sz val="8"/>
      <color indexed="81"/>
      <name val="Tahoma"/>
      <family val="2"/>
    </font>
    <font>
      <b/>
      <sz val="12"/>
      <color theme="3" tint="-0.249977111117893"/>
      <name val="Arial"/>
      <family val="2"/>
    </font>
    <font>
      <sz val="11"/>
      <color theme="1"/>
      <name val="Arial"/>
      <family val="2"/>
      <scheme val="minor"/>
    </font>
    <font>
      <b/>
      <sz val="14"/>
      <color theme="1"/>
      <name val="Arial"/>
      <family val="2"/>
      <scheme val="minor"/>
    </font>
    <font>
      <b/>
      <sz val="11"/>
      <color theme="1"/>
      <name val="Arial"/>
      <family val="2"/>
      <scheme val="minor"/>
    </font>
    <font>
      <sz val="11"/>
      <name val="Arial"/>
      <family val="2"/>
      <scheme val="minor"/>
    </font>
    <font>
      <sz val="12"/>
      <color theme="1"/>
      <name val="Arial"/>
      <family val="2"/>
      <scheme val="minor"/>
    </font>
    <font>
      <b/>
      <sz val="12"/>
      <color indexed="56"/>
      <name val="Arial"/>
      <family val="2"/>
    </font>
    <font>
      <sz val="12"/>
      <color theme="3" tint="-0.249977111117893"/>
      <name val="Arial"/>
      <family val="2"/>
      <scheme val="minor"/>
    </font>
    <font>
      <sz val="10"/>
      <color indexed="81"/>
      <name val="Tahoma"/>
      <family val="2"/>
    </font>
    <font>
      <sz val="11"/>
      <color theme="0"/>
      <name val="Arial"/>
      <family val="2"/>
      <scheme val="minor"/>
    </font>
    <font>
      <b/>
      <u/>
      <sz val="10"/>
      <name val="Arial"/>
      <family val="2"/>
    </font>
    <font>
      <b/>
      <sz val="11"/>
      <name val="Arial"/>
      <family val="2"/>
    </font>
    <font>
      <b/>
      <u/>
      <sz val="8"/>
      <color indexed="81"/>
      <name val="Tahoma"/>
      <family val="2"/>
    </font>
    <font>
      <b/>
      <sz val="12"/>
      <color rgb="FFFF0000"/>
      <name val="Arial"/>
      <family val="2"/>
    </font>
    <font>
      <b/>
      <sz val="11"/>
      <color rgb="FFFF0000"/>
      <name val="Arial"/>
      <family val="2"/>
      <scheme val="minor"/>
    </font>
    <font>
      <b/>
      <sz val="11"/>
      <color theme="3" tint="-0.249977111117893"/>
      <name val="Arial"/>
      <family val="2"/>
      <scheme val="minor"/>
    </font>
    <font>
      <b/>
      <sz val="10"/>
      <color theme="3" tint="-0.249977111117893"/>
      <name val="Arial"/>
      <family val="2"/>
    </font>
    <font>
      <sz val="10"/>
      <name val="Arial"/>
      <family val="2"/>
    </font>
    <font>
      <b/>
      <sz val="14"/>
      <name val="Arial"/>
      <family val="2"/>
    </font>
    <font>
      <sz val="11"/>
      <color theme="1"/>
      <name val="Arial"/>
      <family val="2"/>
    </font>
    <font>
      <b/>
      <sz val="11"/>
      <color theme="1"/>
      <name val="Arial"/>
      <family val="2"/>
    </font>
    <font>
      <sz val="10"/>
      <color theme="1"/>
      <name val="Arial"/>
      <family val="2"/>
      <scheme val="minor"/>
    </font>
    <font>
      <sz val="11"/>
      <color theme="3"/>
      <name val="Arial"/>
      <family val="2"/>
      <scheme val="minor"/>
    </font>
    <font>
      <b/>
      <sz val="10"/>
      <color theme="1"/>
      <name val="Arial"/>
      <family val="2"/>
      <scheme val="minor"/>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rgb="FF99CCFF"/>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22"/>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22"/>
      </bottom>
      <diagonal/>
    </border>
    <border>
      <left style="medium">
        <color indexed="64"/>
      </left>
      <right/>
      <top style="thin">
        <color indexed="22"/>
      </top>
      <bottom style="thin">
        <color indexed="22"/>
      </bottom>
      <diagonal/>
    </border>
    <border>
      <left style="medium">
        <color indexed="64"/>
      </left>
      <right/>
      <top style="thin">
        <color indexed="22"/>
      </top>
      <bottom/>
      <diagonal/>
    </border>
    <border>
      <left/>
      <right style="medium">
        <color indexed="64"/>
      </right>
      <top style="medium">
        <color indexed="64"/>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diagonal/>
    </border>
    <border>
      <left style="thin">
        <color indexed="64"/>
      </left>
      <right style="thin">
        <color indexed="64"/>
      </right>
      <top style="medium">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diagonal/>
    </border>
    <border>
      <left/>
      <right/>
      <top style="thin">
        <color indexed="64"/>
      </top>
      <bottom style="medium">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ck">
        <color rgb="FF0000FF"/>
      </left>
      <right style="thin">
        <color indexed="64"/>
      </right>
      <top/>
      <bottom style="thick">
        <color rgb="FF0000FF"/>
      </bottom>
      <diagonal/>
    </border>
    <border>
      <left/>
      <right style="thin">
        <color indexed="64"/>
      </right>
      <top/>
      <bottom style="thick">
        <color rgb="FF0000FF"/>
      </bottom>
      <diagonal/>
    </border>
    <border>
      <left style="thin">
        <color indexed="64"/>
      </left>
      <right style="thin">
        <color indexed="64"/>
      </right>
      <top/>
      <bottom style="thick">
        <color rgb="FF0000FF"/>
      </bottom>
      <diagonal/>
    </border>
    <border>
      <left style="thin">
        <color indexed="64"/>
      </left>
      <right style="thick">
        <color rgb="FF0000FF"/>
      </right>
      <top/>
      <bottom style="thick">
        <color rgb="FF0000FF"/>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ck">
        <color rgb="FF0000FF"/>
      </right>
      <top/>
      <bottom style="thick">
        <color rgb="FF0000FF"/>
      </bottom>
      <diagonal/>
    </border>
    <border>
      <left style="thick">
        <color rgb="FF0000FF"/>
      </left>
      <right style="thin">
        <color indexed="64"/>
      </right>
      <top style="thin">
        <color indexed="64"/>
      </top>
      <bottom style="thick">
        <color rgb="FF0000FF"/>
      </bottom>
      <diagonal/>
    </border>
    <border>
      <left/>
      <right/>
      <top/>
      <bottom style="thick">
        <color rgb="FF0000FF"/>
      </bottom>
      <diagonal/>
    </border>
    <border>
      <left style="thin">
        <color indexed="64"/>
      </left>
      <right/>
      <top/>
      <bottom style="thick">
        <color rgb="FF0000FF"/>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3" tint="-0.24994659260841701"/>
      </left>
      <right/>
      <top style="thin">
        <color theme="3" tint="-0.24994659260841701"/>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theme="8" tint="0.59996337778862885"/>
      </bottom>
      <diagonal/>
    </border>
    <border>
      <left/>
      <right/>
      <top style="thin">
        <color theme="8" tint="0.59996337778862885"/>
      </top>
      <bottom style="thin">
        <color theme="8" tint="0.59996337778862885"/>
      </bottom>
      <diagonal/>
    </border>
    <border>
      <left/>
      <right/>
      <top style="thin">
        <color indexed="64"/>
      </top>
      <bottom style="thin">
        <color theme="8" tint="0.59996337778862885"/>
      </bottom>
      <diagonal/>
    </border>
    <border>
      <left style="thin">
        <color indexed="64"/>
      </left>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theme="3" tint="-0.24994659260841701"/>
      </left>
      <right style="thick">
        <color theme="3" tint="-0.24994659260841701"/>
      </right>
      <top style="thin">
        <color indexed="64"/>
      </top>
      <bottom style="thin">
        <color indexed="64"/>
      </bottom>
      <diagonal/>
    </border>
    <border>
      <left/>
      <right style="thin">
        <color indexed="64"/>
      </right>
      <top style="thick">
        <color indexed="64"/>
      </top>
      <bottom/>
      <diagonal/>
    </border>
    <border>
      <left style="thick">
        <color rgb="FF0000FF"/>
      </left>
      <right style="thick">
        <color rgb="FF0000FF"/>
      </right>
      <top style="thick">
        <color rgb="FF0000FF"/>
      </top>
      <bottom style="thin">
        <color indexed="64"/>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right/>
      <top style="thin">
        <color theme="8" tint="0.39994506668294322"/>
      </top>
      <bottom style="thin">
        <color theme="8" tint="0.39991454817346722"/>
      </bottom>
      <diagonal/>
    </border>
    <border>
      <left/>
      <right/>
      <top style="thin">
        <color theme="8" tint="0.39991454817346722"/>
      </top>
      <bottom style="thin">
        <color theme="8" tint="0.39991454817346722"/>
      </bottom>
      <diagonal/>
    </border>
    <border>
      <left/>
      <right/>
      <top style="thin">
        <color theme="8" tint="0.39991454817346722"/>
      </top>
      <bottom style="thin">
        <color theme="8" tint="0.39994506668294322"/>
      </bottom>
      <diagonal/>
    </border>
  </borders>
  <cellStyleXfs count="16">
    <xf numFmtId="0" fontId="0" fillId="0" borderId="0"/>
    <xf numFmtId="0" fontId="13" fillId="0" borderId="0"/>
    <xf numFmtId="9" fontId="10" fillId="0" borderId="0" applyFont="0" applyFill="0" applyBorder="0" applyAlignment="0" applyProtection="0"/>
    <xf numFmtId="0" fontId="9" fillId="0" borderId="0"/>
    <xf numFmtId="9" fontId="10"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10" fillId="0" borderId="0"/>
    <xf numFmtId="0" fontId="7" fillId="0" borderId="0"/>
    <xf numFmtId="0" fontId="6" fillId="0" borderId="0"/>
    <xf numFmtId="0" fontId="53" fillId="0" borderId="0"/>
    <xf numFmtId="0" fontId="10" fillId="0" borderId="0"/>
    <xf numFmtId="0" fontId="10" fillId="0" borderId="0"/>
    <xf numFmtId="0" fontId="10" fillId="0" borderId="0"/>
    <xf numFmtId="0" fontId="2" fillId="0" borderId="0"/>
  </cellStyleXfs>
  <cellXfs count="545">
    <xf numFmtId="0" fontId="0" fillId="0" borderId="0" xfId="0"/>
    <xf numFmtId="0" fontId="9" fillId="0" borderId="0" xfId="3" applyAlignment="1">
      <alignment vertical="center"/>
    </xf>
    <xf numFmtId="49" fontId="15" fillId="2" borderId="0" xfId="0" applyNumberFormat="1" applyFont="1" applyFill="1" applyBorder="1" applyAlignment="1">
      <alignment vertical="center"/>
    </xf>
    <xf numFmtId="49" fontId="15" fillId="2" borderId="0" xfId="0" applyNumberFormat="1" applyFont="1" applyFill="1" applyBorder="1" applyAlignment="1">
      <alignment vertical="center" wrapText="1"/>
    </xf>
    <xf numFmtId="49" fontId="15" fillId="2" borderId="0" xfId="0" applyNumberFormat="1" applyFont="1" applyFill="1" applyBorder="1" applyAlignment="1">
      <alignment horizontal="left" vertical="center" wrapText="1"/>
    </xf>
    <xf numFmtId="49" fontId="15" fillId="2" borderId="0" xfId="0" applyNumberFormat="1" applyFont="1" applyFill="1" applyBorder="1" applyAlignment="1">
      <alignment horizontal="left" vertical="center"/>
    </xf>
    <xf numFmtId="49" fontId="16" fillId="0" borderId="0" xfId="0" applyNumberFormat="1" applyFont="1" applyAlignment="1">
      <alignment vertical="center"/>
    </xf>
    <xf numFmtId="49" fontId="15" fillId="2" borderId="0" xfId="0" applyNumberFormat="1" applyFont="1" applyFill="1" applyBorder="1" applyAlignment="1">
      <alignment horizontal="center" vertical="center"/>
    </xf>
    <xf numFmtId="49" fontId="18" fillId="2" borderId="0"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xf>
    <xf numFmtId="49" fontId="16" fillId="2" borderId="0" xfId="0" applyNumberFormat="1" applyFont="1" applyFill="1" applyBorder="1" applyAlignment="1">
      <alignment vertical="center"/>
    </xf>
    <xf numFmtId="49" fontId="19" fillId="0" borderId="0" xfId="0" applyNumberFormat="1" applyFont="1" applyAlignment="1">
      <alignment vertical="center"/>
    </xf>
    <xf numFmtId="49" fontId="20" fillId="2" borderId="0" xfId="0" applyNumberFormat="1" applyFont="1" applyFill="1" applyAlignment="1">
      <alignment vertical="center"/>
    </xf>
    <xf numFmtId="49" fontId="19" fillId="2" borderId="0" xfId="0" applyNumberFormat="1" applyFont="1" applyFill="1" applyAlignment="1">
      <alignment vertical="center"/>
    </xf>
    <xf numFmtId="49" fontId="17" fillId="2" borderId="0" xfId="0" applyNumberFormat="1" applyFont="1" applyFill="1" applyBorder="1" applyAlignment="1">
      <alignment horizontal="center" vertical="center"/>
    </xf>
    <xf numFmtId="49" fontId="15" fillId="2" borderId="0" xfId="0" applyNumberFormat="1" applyFont="1" applyFill="1" applyBorder="1" applyAlignment="1">
      <alignment horizontal="centerContinuous" vertical="center"/>
    </xf>
    <xf numFmtId="49" fontId="16" fillId="0" borderId="0" xfId="0" applyNumberFormat="1" applyFont="1" applyBorder="1" applyAlignment="1">
      <alignment horizontal="centerContinuous" vertical="center"/>
    </xf>
    <xf numFmtId="49" fontId="16" fillId="0" borderId="0" xfId="0" applyNumberFormat="1" applyFont="1" applyAlignment="1">
      <alignment horizontal="centerContinuous" vertical="center"/>
    </xf>
    <xf numFmtId="49" fontId="21" fillId="2" borderId="0" xfId="0" applyNumberFormat="1" applyFont="1" applyFill="1" applyBorder="1" applyAlignment="1">
      <alignment horizontal="centerContinuous" vertical="top"/>
    </xf>
    <xf numFmtId="49" fontId="21" fillId="0" borderId="0" xfId="0" applyNumberFormat="1" applyFont="1" applyAlignment="1">
      <alignment horizontal="right" vertical="center"/>
    </xf>
    <xf numFmtId="0" fontId="22" fillId="0" borderId="0" xfId="0" applyNumberFormat="1" applyFont="1" applyAlignment="1">
      <alignment horizontal="right" vertical="center"/>
    </xf>
    <xf numFmtId="0" fontId="23" fillId="2" borderId="0" xfId="0" applyNumberFormat="1" applyFont="1" applyFill="1" applyBorder="1" applyAlignment="1">
      <alignment horizontal="left" vertical="center" indent="1"/>
    </xf>
    <xf numFmtId="0" fontId="0" fillId="0" borderId="0" xfId="0" applyAlignment="1">
      <alignment vertical="center"/>
    </xf>
    <xf numFmtId="0" fontId="24" fillId="0" borderId="0" xfId="3" applyFont="1" applyAlignment="1">
      <alignment vertical="center"/>
    </xf>
    <xf numFmtId="49" fontId="15" fillId="2" borderId="0" xfId="0" applyNumberFormat="1" applyFont="1" applyFill="1" applyBorder="1" applyAlignment="1">
      <alignment horizontal="right" vertical="center"/>
    </xf>
    <xf numFmtId="49" fontId="18" fillId="2" borderId="0" xfId="0" applyNumberFormat="1" applyFont="1" applyFill="1" applyBorder="1" applyAlignment="1">
      <alignment horizontal="centerContinuous" vertical="center"/>
    </xf>
    <xf numFmtId="49" fontId="18" fillId="2" borderId="0" xfId="0" applyNumberFormat="1" applyFont="1" applyFill="1" applyBorder="1" applyAlignment="1">
      <alignment horizontal="centerContinuous" vertical="center" wrapText="1"/>
    </xf>
    <xf numFmtId="49" fontId="16" fillId="2" borderId="0" xfId="0" applyNumberFormat="1" applyFont="1" applyFill="1" applyBorder="1" applyAlignment="1">
      <alignment horizontal="centerContinuous" vertical="center"/>
    </xf>
    <xf numFmtId="49" fontId="21" fillId="2" borderId="0" xfId="0" applyNumberFormat="1" applyFont="1" applyFill="1" applyBorder="1" applyAlignment="1">
      <alignment horizontal="centerContinuous"/>
    </xf>
    <xf numFmtId="49" fontId="16" fillId="0" borderId="0" xfId="0" applyNumberFormat="1" applyFont="1" applyFill="1" applyBorder="1" applyAlignment="1">
      <alignment horizontal="centerContinuous" vertical="center"/>
    </xf>
    <xf numFmtId="0" fontId="14" fillId="0" borderId="0" xfId="0" applyFont="1" applyAlignment="1">
      <alignment vertical="center"/>
    </xf>
    <xf numFmtId="0" fontId="14" fillId="0" borderId="0" xfId="0" applyFont="1" applyFill="1" applyAlignment="1">
      <alignment vertical="center"/>
    </xf>
    <xf numFmtId="0" fontId="0" fillId="0" borderId="0" xfId="0" applyFill="1" applyAlignment="1">
      <alignment vertical="center"/>
    </xf>
    <xf numFmtId="0" fontId="14" fillId="0" borderId="0" xfId="0" applyFont="1" applyAlignment="1" applyProtection="1">
      <alignment vertical="center"/>
      <protection locked="0"/>
    </xf>
    <xf numFmtId="14" fontId="0" fillId="0" borderId="0" xfId="0" applyNumberFormat="1" applyAlignment="1">
      <alignment vertical="center"/>
    </xf>
    <xf numFmtId="0" fontId="13" fillId="0" borderId="0" xfId="0" applyFont="1" applyAlignment="1">
      <alignment vertical="center"/>
    </xf>
    <xf numFmtId="49" fontId="25" fillId="2" borderId="0" xfId="0" applyNumberFormat="1" applyFont="1" applyFill="1" applyBorder="1" applyAlignment="1">
      <alignment horizontal="left" vertical="center"/>
    </xf>
    <xf numFmtId="0" fontId="13" fillId="0" borderId="0" xfId="0" applyFont="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26" fillId="0" borderId="0" xfId="0" applyFont="1" applyAlignment="1">
      <alignment vertical="center"/>
    </xf>
    <xf numFmtId="3"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xf>
    <xf numFmtId="0" fontId="0" fillId="0" borderId="0" xfId="0" applyAlignment="1">
      <alignment horizontal="centerContinuous" vertical="center"/>
    </xf>
    <xf numFmtId="0" fontId="0" fillId="0" borderId="0" xfId="0" applyAlignment="1">
      <alignment horizontal="center" vertical="center"/>
    </xf>
    <xf numFmtId="3" fontId="12" fillId="0" borderId="1" xfId="0" applyNumberFormat="1" applyFont="1" applyBorder="1" applyAlignment="1" applyProtection="1">
      <alignment horizontal="center" vertical="center"/>
    </xf>
    <xf numFmtId="0" fontId="0" fillId="0" borderId="0" xfId="0" applyAlignment="1">
      <alignment vertical="center" wrapText="1"/>
    </xf>
    <xf numFmtId="0" fontId="14" fillId="3" borderId="1" xfId="0" applyFont="1" applyFill="1" applyBorder="1" applyAlignment="1">
      <alignment horizontal="center" vertical="center"/>
    </xf>
    <xf numFmtId="0" fontId="10" fillId="0" borderId="1" xfId="0" applyFont="1" applyBorder="1" applyAlignment="1">
      <alignment horizontal="center" vertical="center"/>
    </xf>
    <xf numFmtId="0" fontId="14" fillId="0" borderId="0" xfId="0" applyFont="1" applyAlignment="1">
      <alignment horizontal="centerContinuous" vertical="center"/>
    </xf>
    <xf numFmtId="0" fontId="14" fillId="3" borderId="1" xfId="0" applyFont="1" applyFill="1" applyBorder="1" applyAlignment="1">
      <alignment horizontal="center" vertical="center" wrapText="1"/>
    </xf>
    <xf numFmtId="3" fontId="12" fillId="0" borderId="2" xfId="0" applyNumberFormat="1" applyFont="1" applyBorder="1" applyAlignment="1" applyProtection="1">
      <alignment horizontal="center" vertical="center"/>
      <protection locked="0"/>
    </xf>
    <xf numFmtId="10" fontId="12" fillId="0" borderId="13" xfId="2" applyNumberFormat="1" applyFont="1" applyBorder="1" applyAlignment="1" applyProtection="1">
      <alignment horizontal="center" vertical="center"/>
    </xf>
    <xf numFmtId="0" fontId="10" fillId="0" borderId="0" xfId="0" applyFont="1" applyAlignment="1">
      <alignment vertical="center"/>
    </xf>
    <xf numFmtId="0" fontId="10" fillId="0" borderId="0" xfId="0" applyFont="1" applyAlignment="1" applyProtection="1">
      <alignment vertical="center"/>
      <protection locked="0"/>
    </xf>
    <xf numFmtId="1" fontId="10" fillId="0" borderId="0" xfId="0" applyNumberFormat="1" applyFont="1" applyBorder="1" applyAlignment="1" applyProtection="1">
      <alignment horizontal="center" vertical="center"/>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0" fillId="0" borderId="0" xfId="0" applyAlignment="1">
      <alignment horizontal="right" vertical="center"/>
    </xf>
    <xf numFmtId="0" fontId="24" fillId="0" borderId="0" xfId="0" applyFont="1" applyAlignment="1">
      <alignment vertical="center"/>
    </xf>
    <xf numFmtId="3" fontId="12" fillId="0" borderId="17" xfId="0" applyNumberFormat="1" applyFont="1" applyBorder="1" applyAlignment="1" applyProtection="1">
      <alignment horizontal="center" vertical="center" wrapText="1"/>
      <protection locked="0"/>
    </xf>
    <xf numFmtId="3" fontId="12" fillId="0" borderId="17" xfId="0" applyNumberFormat="1" applyFont="1" applyBorder="1" applyAlignment="1" applyProtection="1">
      <alignment horizontal="center" vertical="center" wrapText="1"/>
    </xf>
    <xf numFmtId="0" fontId="14" fillId="3" borderId="24" xfId="0" applyFont="1" applyFill="1" applyBorder="1" applyAlignment="1">
      <alignment horizontal="centerContinuous" vertical="center"/>
    </xf>
    <xf numFmtId="0" fontId="13" fillId="3" borderId="25" xfId="0" applyFont="1" applyFill="1" applyBorder="1" applyAlignment="1">
      <alignment horizontal="centerContinuous" vertical="center"/>
    </xf>
    <xf numFmtId="0" fontId="13" fillId="3" borderId="26" xfId="0" applyFont="1" applyFill="1" applyBorder="1" applyAlignment="1">
      <alignment horizontal="centerContinuous" vertical="center"/>
    </xf>
    <xf numFmtId="0" fontId="14" fillId="3" borderId="6"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27" xfId="0" applyFont="1" applyFill="1" applyBorder="1" applyAlignment="1" applyProtection="1">
      <alignment horizontal="center" vertical="center" wrapText="1"/>
    </xf>
    <xf numFmtId="3" fontId="12" fillId="0" borderId="9" xfId="0" applyNumberFormat="1" applyFont="1" applyBorder="1" applyAlignment="1" applyProtection="1">
      <alignment horizontal="center" vertical="center" wrapText="1"/>
      <protection locked="0"/>
    </xf>
    <xf numFmtId="10" fontId="12" fillId="0" borderId="5" xfId="0" applyNumberFormat="1" applyFont="1" applyFill="1" applyBorder="1" applyAlignment="1" applyProtection="1">
      <alignment horizontal="center" vertical="center"/>
    </xf>
    <xf numFmtId="3" fontId="12" fillId="0" borderId="21" xfId="0" applyNumberFormat="1" applyFont="1" applyBorder="1" applyAlignment="1">
      <alignment horizontal="center" vertical="center"/>
    </xf>
    <xf numFmtId="3" fontId="12" fillId="0" borderId="12" xfId="0" applyNumberFormat="1" applyFont="1" applyBorder="1" applyAlignment="1">
      <alignment horizontal="center" vertical="center"/>
    </xf>
    <xf numFmtId="10" fontId="12" fillId="0" borderId="13" xfId="0" applyNumberFormat="1" applyFont="1" applyFill="1" applyBorder="1" applyAlignment="1" applyProtection="1">
      <alignment horizontal="center" vertical="center"/>
    </xf>
    <xf numFmtId="3" fontId="12" fillId="0" borderId="9" xfId="0" applyNumberFormat="1" applyFont="1" applyBorder="1" applyAlignment="1" applyProtection="1">
      <alignment horizontal="center" vertical="center" wrapText="1"/>
    </xf>
    <xf numFmtId="0" fontId="14" fillId="3" borderId="28" xfId="0" applyFont="1" applyFill="1" applyBorder="1" applyAlignment="1" applyProtection="1">
      <alignment horizontal="center" vertical="center"/>
    </xf>
    <xf numFmtId="0" fontId="10" fillId="0" borderId="22" xfId="0" applyNumberFormat="1" applyFont="1" applyBorder="1" applyAlignment="1" applyProtection="1">
      <alignment horizontal="center" vertical="center"/>
    </xf>
    <xf numFmtId="0" fontId="13" fillId="0" borderId="22" xfId="0" applyNumberFormat="1" applyFont="1" applyBorder="1" applyAlignment="1" applyProtection="1">
      <alignment horizontal="center" vertical="center"/>
    </xf>
    <xf numFmtId="0" fontId="14" fillId="0" borderId="23" xfId="0" applyFont="1" applyBorder="1" applyAlignment="1">
      <alignment horizontal="center" vertical="center"/>
    </xf>
    <xf numFmtId="1" fontId="24" fillId="0" borderId="0" xfId="0" applyNumberFormat="1" applyFont="1" applyFill="1" applyAlignment="1">
      <alignment vertical="center"/>
    </xf>
    <xf numFmtId="0" fontId="27" fillId="0" borderId="0" xfId="0" applyFont="1" applyAlignment="1">
      <alignment horizontal="right" vertical="center"/>
    </xf>
    <xf numFmtId="0" fontId="10" fillId="0" borderId="16" xfId="0" applyFont="1" applyBorder="1" applyAlignment="1">
      <alignment horizontal="center" vertical="center"/>
    </xf>
    <xf numFmtId="0" fontId="14" fillId="3" borderId="25" xfId="0" applyFont="1" applyFill="1" applyBorder="1" applyAlignment="1">
      <alignment horizontal="centerContinuous" vertical="center"/>
    </xf>
    <xf numFmtId="0" fontId="14" fillId="3" borderId="32" xfId="0" applyFont="1" applyFill="1" applyBorder="1" applyAlignment="1" applyProtection="1">
      <alignment horizontal="center" vertical="center" wrapText="1"/>
    </xf>
    <xf numFmtId="0" fontId="14" fillId="3" borderId="33" xfId="0" applyFont="1" applyFill="1" applyBorder="1" applyAlignment="1" applyProtection="1">
      <alignment horizontal="center" vertical="center" wrapText="1"/>
    </xf>
    <xf numFmtId="0" fontId="14" fillId="3" borderId="25" xfId="0" applyFont="1" applyFill="1" applyBorder="1" applyAlignment="1">
      <alignment horizontal="centerContinuous" vertical="center" wrapText="1"/>
    </xf>
    <xf numFmtId="3" fontId="12" fillId="0" borderId="2" xfId="0" applyNumberFormat="1" applyFont="1" applyBorder="1" applyAlignment="1" applyProtection="1">
      <alignment horizontal="center" vertical="center" wrapText="1"/>
      <protection locked="0"/>
    </xf>
    <xf numFmtId="10" fontId="12" fillId="0" borderId="5" xfId="2" applyNumberFormat="1" applyFont="1" applyBorder="1" applyAlignment="1" applyProtection="1">
      <alignment horizontal="center" vertical="center" wrapText="1"/>
    </xf>
    <xf numFmtId="0" fontId="30" fillId="0" borderId="0" xfId="0" applyFont="1" applyAlignment="1">
      <alignment horizontal="centerContinuous"/>
    </xf>
    <xf numFmtId="0" fontId="0" fillId="0" borderId="0" xfId="0" applyAlignment="1">
      <alignment horizontal="centerContinuous"/>
    </xf>
    <xf numFmtId="0" fontId="30" fillId="0" borderId="0" xfId="0" applyFont="1" applyAlignment="1"/>
    <xf numFmtId="0" fontId="0" fillId="0" borderId="0" xfId="0" applyAlignment="1"/>
    <xf numFmtId="3" fontId="31" fillId="0" borderId="0" xfId="0" applyNumberFormat="1" applyFont="1" applyAlignment="1">
      <alignment horizontal="right" vertical="center"/>
    </xf>
    <xf numFmtId="0" fontId="31" fillId="0" borderId="0" xfId="0" applyFont="1" applyAlignment="1">
      <alignment horizontal="left" vertical="center" indent="1"/>
    </xf>
    <xf numFmtId="0" fontId="10" fillId="0" borderId="8" xfId="0" applyFont="1" applyFill="1" applyBorder="1" applyAlignment="1">
      <alignment vertical="center"/>
    </xf>
    <xf numFmtId="0" fontId="0" fillId="0" borderId="0" xfId="0" applyAlignment="1">
      <alignment horizontal="left" vertical="center" indent="1"/>
    </xf>
    <xf numFmtId="0" fontId="10" fillId="0" borderId="37" xfId="0" applyFont="1" applyFill="1" applyBorder="1" applyAlignment="1">
      <alignment horizontal="center" vertical="center"/>
    </xf>
    <xf numFmtId="0" fontId="14" fillId="4" borderId="1" xfId="0" applyFon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6"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xf numFmtId="49" fontId="0" fillId="0" borderId="14" xfId="0" applyNumberFormat="1" applyBorder="1" applyAlignment="1">
      <alignment horizontal="center" vertical="center"/>
    </xf>
    <xf numFmtId="0" fontId="14" fillId="4" borderId="17" xfId="0" applyFont="1" applyFill="1" applyBorder="1" applyAlignment="1">
      <alignment horizontal="centerContinuous" vertical="center"/>
    </xf>
    <xf numFmtId="0" fontId="0" fillId="4" borderId="10" xfId="0" applyFill="1" applyBorder="1" applyAlignment="1">
      <alignment horizontal="centerContinuous" vertical="center"/>
    </xf>
    <xf numFmtId="0" fontId="0" fillId="4" borderId="4" xfId="0" applyFill="1" applyBorder="1" applyAlignment="1">
      <alignment horizontal="centerContinuous" vertical="center"/>
    </xf>
    <xf numFmtId="0" fontId="14" fillId="0" borderId="7" xfId="0" applyFont="1" applyBorder="1" applyAlignment="1">
      <alignment vertical="center"/>
    </xf>
    <xf numFmtId="0" fontId="0" fillId="0" borderId="7" xfId="0" applyBorder="1" applyAlignment="1">
      <alignment horizontal="center" vertical="center"/>
    </xf>
    <xf numFmtId="0" fontId="0" fillId="0" borderId="7" xfId="0" applyBorder="1" applyAlignment="1">
      <alignment horizontal="left" vertical="center" indent="2"/>
    </xf>
    <xf numFmtId="0" fontId="0" fillId="0" borderId="7" xfId="0" applyBorder="1" applyAlignment="1">
      <alignment vertical="center"/>
    </xf>
    <xf numFmtId="0" fontId="0" fillId="0" borderId="7" xfId="0" applyNumberFormat="1" applyBorder="1" applyAlignment="1">
      <alignment horizontal="center" vertical="center"/>
    </xf>
    <xf numFmtId="0" fontId="0" fillId="0" borderId="29" xfId="0" applyBorder="1" applyAlignment="1">
      <alignment horizontal="left" vertical="center" indent="2"/>
    </xf>
    <xf numFmtId="0" fontId="0" fillId="0" borderId="29" xfId="0" applyBorder="1" applyAlignment="1">
      <alignment vertical="center"/>
    </xf>
    <xf numFmtId="0" fontId="0" fillId="0" borderId="30" xfId="0" applyBorder="1" applyAlignment="1">
      <alignment horizontal="center" vertical="center"/>
    </xf>
    <xf numFmtId="49" fontId="0" fillId="0" borderId="29" xfId="0" applyNumberFormat="1" applyBorder="1" applyAlignment="1">
      <alignment horizontal="center" vertical="center"/>
    </xf>
    <xf numFmtId="49" fontId="0" fillId="0" borderId="29" xfId="0" applyNumberFormat="1" applyFill="1" applyBorder="1" applyAlignment="1">
      <alignment horizontal="center" vertical="center"/>
    </xf>
    <xf numFmtId="0" fontId="0" fillId="5" borderId="7" xfId="0" applyFill="1" applyBorder="1" applyAlignment="1">
      <alignment horizontal="center" vertical="center"/>
    </xf>
    <xf numFmtId="0" fontId="0" fillId="0" borderId="31" xfId="0" applyBorder="1" applyAlignment="1">
      <alignment horizontal="left" vertical="center" indent="2"/>
    </xf>
    <xf numFmtId="0" fontId="0" fillId="0" borderId="38" xfId="0" applyBorder="1" applyAlignment="1">
      <alignment horizontal="center" vertical="center"/>
    </xf>
    <xf numFmtId="0" fontId="0" fillId="6" borderId="7" xfId="0" applyFill="1" applyBorder="1" applyAlignment="1">
      <alignment horizontal="center" vertical="center"/>
    </xf>
    <xf numFmtId="49" fontId="0" fillId="0" borderId="7" xfId="0" applyNumberFormat="1" applyBorder="1" applyAlignment="1">
      <alignment horizontal="center" vertical="center"/>
    </xf>
    <xf numFmtId="0" fontId="14" fillId="0" borderId="31" xfId="0" applyFont="1" applyBorder="1" applyAlignment="1">
      <alignment horizontal="left" vertical="center"/>
    </xf>
    <xf numFmtId="0" fontId="10" fillId="0" borderId="7" xfId="0" applyFont="1" applyBorder="1" applyAlignment="1">
      <alignment horizontal="left" vertical="center" indent="2"/>
    </xf>
    <xf numFmtId="0" fontId="0" fillId="0" borderId="16" xfId="0" applyBorder="1" applyAlignment="1">
      <alignment vertical="center"/>
    </xf>
    <xf numFmtId="0" fontId="0" fillId="0" borderId="31" xfId="0" applyBorder="1" applyAlignment="1">
      <alignment horizontal="center" vertical="center"/>
    </xf>
    <xf numFmtId="0" fontId="14" fillId="0" borderId="31" xfId="0" applyFont="1" applyBorder="1" applyAlignment="1">
      <alignment vertical="center"/>
    </xf>
    <xf numFmtId="0" fontId="0" fillId="0" borderId="39" xfId="0" applyBorder="1" applyAlignment="1">
      <alignment horizontal="center" vertical="center"/>
    </xf>
    <xf numFmtId="0" fontId="10" fillId="0" borderId="31" xfId="0" applyFont="1" applyBorder="1" applyAlignment="1">
      <alignment horizontal="left" indent="2"/>
    </xf>
    <xf numFmtId="0" fontId="0" fillId="0" borderId="31" xfId="0" applyBorder="1" applyAlignment="1">
      <alignment horizontal="center"/>
    </xf>
    <xf numFmtId="0" fontId="10" fillId="0" borderId="7" xfId="0" applyFont="1" applyBorder="1" applyAlignment="1">
      <alignment horizontal="left" indent="2"/>
    </xf>
    <xf numFmtId="0" fontId="0" fillId="0" borderId="7" xfId="0" applyBorder="1" applyAlignment="1">
      <alignment horizontal="center"/>
    </xf>
    <xf numFmtId="0" fontId="0" fillId="0" borderId="7" xfId="0" applyBorder="1" applyAlignment="1">
      <alignment horizontal="left" indent="2"/>
    </xf>
    <xf numFmtId="0" fontId="0" fillId="0" borderId="16" xfId="0" applyBorder="1"/>
    <xf numFmtId="0" fontId="14" fillId="0" borderId="31" xfId="0" applyFont="1" applyBorder="1"/>
    <xf numFmtId="49" fontId="10" fillId="0" borderId="29" xfId="0" applyNumberFormat="1" applyFont="1" applyBorder="1" applyAlignment="1">
      <alignment horizontal="center" vertical="center"/>
    </xf>
    <xf numFmtId="0" fontId="0" fillId="7" borderId="31" xfId="0" applyFill="1" applyBorder="1" applyAlignment="1">
      <alignment horizontal="center" vertical="center"/>
    </xf>
    <xf numFmtId="0" fontId="10" fillId="0" borderId="29" xfId="0" applyFont="1" applyBorder="1" applyAlignment="1">
      <alignment horizontal="left" indent="2"/>
    </xf>
    <xf numFmtId="0" fontId="0" fillId="0" borderId="29" xfId="0" applyBorder="1"/>
    <xf numFmtId="0" fontId="0" fillId="0" borderId="30" xfId="0" applyFill="1" applyBorder="1" applyAlignment="1">
      <alignment horizontal="center" vertical="center"/>
    </xf>
    <xf numFmtId="0" fontId="0" fillId="0" borderId="31" xfId="0" applyFill="1" applyBorder="1" applyAlignment="1">
      <alignment horizontal="center"/>
    </xf>
    <xf numFmtId="0" fontId="0" fillId="0" borderId="7" xfId="0" applyBorder="1"/>
    <xf numFmtId="0" fontId="10" fillId="0" borderId="16" xfId="0" applyFont="1" applyBorder="1" applyAlignment="1">
      <alignment horizontal="left" indent="2"/>
    </xf>
    <xf numFmtId="49" fontId="0" fillId="0" borderId="16" xfId="0" applyNumberFormat="1" applyBorder="1" applyAlignment="1">
      <alignment horizontal="center" vertical="center"/>
    </xf>
    <xf numFmtId="0" fontId="0" fillId="8" borderId="31" xfId="0" applyFill="1" applyBorder="1" applyAlignment="1">
      <alignment horizontal="center" vertical="center"/>
    </xf>
    <xf numFmtId="0" fontId="0" fillId="0" borderId="16" xfId="0" applyBorder="1" applyAlignment="1">
      <alignment horizontal="left" indent="2"/>
    </xf>
    <xf numFmtId="0" fontId="10" fillId="0" borderId="14" xfId="0" applyFont="1" applyFill="1" applyBorder="1" applyAlignment="1">
      <alignment horizontal="left"/>
    </xf>
    <xf numFmtId="1" fontId="0" fillId="0" borderId="0" xfId="0" applyNumberFormat="1" applyFill="1" applyAlignment="1">
      <alignment horizontal="left" vertical="center"/>
    </xf>
    <xf numFmtId="1" fontId="33" fillId="0" borderId="0" xfId="0" applyNumberFormat="1" applyFont="1" applyAlignment="1" applyProtection="1">
      <alignment horizontal="center" vertical="center"/>
    </xf>
    <xf numFmtId="0" fontId="0" fillId="9" borderId="7" xfId="0" applyFill="1" applyBorder="1" applyAlignment="1">
      <alignment horizontal="center" vertical="center"/>
    </xf>
    <xf numFmtId="10" fontId="12" fillId="0" borderId="34" xfId="2" applyNumberFormat="1" applyFont="1" applyBorder="1" applyAlignment="1" applyProtection="1">
      <alignment horizontal="center" vertical="center" wrapText="1"/>
    </xf>
    <xf numFmtId="10" fontId="12" fillId="0" borderId="35" xfId="2" applyNumberFormat="1" applyFont="1" applyBorder="1" applyAlignment="1" applyProtection="1">
      <alignment horizontal="center" vertical="center"/>
    </xf>
    <xf numFmtId="0" fontId="10" fillId="0" borderId="41" xfId="1" applyFont="1" applyFill="1" applyBorder="1" applyAlignment="1">
      <alignment horizontal="center" vertical="center"/>
    </xf>
    <xf numFmtId="0" fontId="10" fillId="0" borderId="44" xfId="1" applyFont="1" applyFill="1" applyBorder="1" applyAlignment="1">
      <alignment horizontal="center" vertical="center"/>
    </xf>
    <xf numFmtId="0" fontId="10" fillId="0" borderId="44" xfId="1" applyFont="1" applyBorder="1" applyAlignment="1">
      <alignment horizontal="center" vertical="center"/>
    </xf>
    <xf numFmtId="0" fontId="10" fillId="0" borderId="8" xfId="1" applyFont="1" applyBorder="1" applyAlignment="1">
      <alignment horizontal="center" vertical="center"/>
    </xf>
    <xf numFmtId="0" fontId="8" fillId="0" borderId="0" xfId="3" applyFont="1" applyAlignment="1">
      <alignment vertical="center"/>
    </xf>
    <xf numFmtId="0" fontId="34" fillId="0" borderId="0" xfId="3" applyFont="1" applyAlignment="1">
      <alignment vertical="center"/>
    </xf>
    <xf numFmtId="0" fontId="9" fillId="0" borderId="0" xfId="3" applyAlignment="1">
      <alignment horizontal="center" vertical="center"/>
    </xf>
    <xf numFmtId="0" fontId="31" fillId="0" borderId="0" xfId="1" applyFont="1" applyAlignment="1">
      <alignment horizontal="center" vertical="center"/>
    </xf>
    <xf numFmtId="0" fontId="13" fillId="0" borderId="0" xfId="1" applyAlignment="1">
      <alignment vertical="center"/>
    </xf>
    <xf numFmtId="49" fontId="13" fillId="4" borderId="48" xfId="1" applyNumberFormat="1" applyFill="1" applyBorder="1" applyAlignment="1">
      <alignment horizontal="centerContinuous" vertical="center"/>
    </xf>
    <xf numFmtId="49" fontId="13" fillId="4" borderId="49" xfId="1" applyNumberFormat="1" applyFill="1" applyBorder="1" applyAlignment="1">
      <alignment horizontal="centerContinuous" vertical="center"/>
    </xf>
    <xf numFmtId="49" fontId="13" fillId="4" borderId="33" xfId="1" applyNumberFormat="1" applyFill="1" applyBorder="1" applyAlignment="1">
      <alignment horizontal="centerContinuous" vertical="center"/>
    </xf>
    <xf numFmtId="0" fontId="13" fillId="4" borderId="6" xfId="1" applyFill="1" applyBorder="1" applyAlignment="1">
      <alignment horizontal="center" vertical="center"/>
    </xf>
    <xf numFmtId="0" fontId="13" fillId="4" borderId="27" xfId="1" applyFill="1" applyBorder="1" applyAlignment="1">
      <alignment horizontal="center" vertical="center"/>
    </xf>
    <xf numFmtId="0" fontId="13" fillId="4" borderId="28" xfId="1" applyFill="1" applyBorder="1" applyAlignment="1">
      <alignment horizontal="center" vertical="center"/>
    </xf>
    <xf numFmtId="0" fontId="13" fillId="4" borderId="50" xfId="1" applyFill="1" applyBorder="1" applyAlignment="1">
      <alignment horizontal="centerContinuous" vertical="center"/>
    </xf>
    <xf numFmtId="0" fontId="13" fillId="4" borderId="0" xfId="1" applyFill="1" applyBorder="1" applyAlignment="1">
      <alignment horizontal="centerContinuous" vertical="center"/>
    </xf>
    <xf numFmtId="0" fontId="13" fillId="4" borderId="15" xfId="1" applyFill="1" applyBorder="1" applyAlignment="1">
      <alignment horizontal="centerContinuous" vertical="center"/>
    </xf>
    <xf numFmtId="0" fontId="13" fillId="4" borderId="2" xfId="1" applyFill="1" applyBorder="1" applyAlignment="1">
      <alignment horizontal="center" vertical="center"/>
    </xf>
    <xf numFmtId="0" fontId="13" fillId="4" borderId="5" xfId="1" applyFill="1" applyBorder="1" applyAlignment="1">
      <alignment horizontal="center" vertical="center"/>
    </xf>
    <xf numFmtId="0" fontId="13" fillId="4" borderId="51" xfId="1" applyFill="1" applyBorder="1" applyAlignment="1">
      <alignment horizontal="center" vertical="center"/>
    </xf>
    <xf numFmtId="0" fontId="13" fillId="4" borderId="21" xfId="1" applyFill="1" applyBorder="1" applyAlignment="1">
      <alignment horizontal="center" vertical="center"/>
    </xf>
    <xf numFmtId="0" fontId="13" fillId="4" borderId="12" xfId="1" applyFill="1" applyBorder="1" applyAlignment="1">
      <alignment horizontal="center" vertical="center"/>
    </xf>
    <xf numFmtId="0" fontId="13" fillId="4" borderId="13" xfId="1" applyFill="1" applyBorder="1" applyAlignment="1">
      <alignment horizontal="center" vertical="center"/>
    </xf>
    <xf numFmtId="10" fontId="0" fillId="4" borderId="11" xfId="4" applyNumberFormat="1" applyFont="1" applyFill="1" applyBorder="1" applyAlignment="1">
      <alignment horizontal="center" vertical="center"/>
    </xf>
    <xf numFmtId="10" fontId="0" fillId="4" borderId="52" xfId="4" applyNumberFormat="1" applyFont="1" applyFill="1" applyBorder="1" applyAlignment="1">
      <alignment horizontal="center" vertical="center"/>
    </xf>
    <xf numFmtId="0" fontId="13" fillId="4" borderId="53" xfId="1" applyFill="1" applyBorder="1" applyAlignment="1">
      <alignment horizontal="center" vertical="center"/>
    </xf>
    <xf numFmtId="3" fontId="13" fillId="0" borderId="54" xfId="1" applyNumberFormat="1" applyBorder="1" applyAlignment="1">
      <alignment vertical="center"/>
    </xf>
    <xf numFmtId="3" fontId="13" fillId="0" borderId="55" xfId="1" applyNumberFormat="1" applyBorder="1" applyAlignment="1">
      <alignment vertical="center"/>
    </xf>
    <xf numFmtId="3" fontId="13" fillId="0" borderId="55" xfId="1" applyNumberFormat="1" applyFill="1" applyBorder="1" applyAlignment="1">
      <alignment vertical="center"/>
    </xf>
    <xf numFmtId="0" fontId="14" fillId="0" borderId="0" xfId="1" applyFont="1" applyAlignment="1">
      <alignment vertical="center"/>
    </xf>
    <xf numFmtId="0" fontId="31" fillId="0" borderId="0" xfId="1" applyFont="1" applyAlignment="1">
      <alignment horizontal="left" vertical="center"/>
    </xf>
    <xf numFmtId="3" fontId="13" fillId="0" borderId="57" xfId="1" applyNumberFormat="1" applyBorder="1" applyAlignment="1">
      <alignment vertical="center"/>
    </xf>
    <xf numFmtId="0" fontId="34" fillId="10" borderId="24" xfId="3" applyFont="1" applyFill="1" applyBorder="1" applyAlignment="1">
      <alignment vertical="center"/>
    </xf>
    <xf numFmtId="3" fontId="34" fillId="10" borderId="56" xfId="3" applyNumberFormat="1" applyFont="1" applyFill="1" applyBorder="1" applyAlignment="1">
      <alignment vertical="center"/>
    </xf>
    <xf numFmtId="3" fontId="10" fillId="3" borderId="41" xfId="1" applyNumberFormat="1" applyFont="1" applyFill="1" applyBorder="1" applyAlignment="1">
      <alignment horizontal="center" vertical="center"/>
    </xf>
    <xf numFmtId="165" fontId="10" fillId="3" borderId="42" xfId="4" applyNumberFormat="1" applyFont="1" applyFill="1" applyBorder="1" applyAlignment="1">
      <alignment horizontal="center" vertical="center"/>
    </xf>
    <xf numFmtId="3" fontId="10" fillId="3" borderId="44" xfId="1" applyNumberFormat="1" applyFont="1" applyFill="1" applyBorder="1" applyAlignment="1">
      <alignment horizontal="center" vertical="center"/>
    </xf>
    <xf numFmtId="165" fontId="10" fillId="3" borderId="45" xfId="4" applyNumberFormat="1" applyFont="1" applyFill="1" applyBorder="1" applyAlignment="1">
      <alignment horizontal="center" vertical="center"/>
    </xf>
    <xf numFmtId="3" fontId="10" fillId="3" borderId="8" xfId="1" applyNumberFormat="1" applyFont="1" applyFill="1" applyBorder="1" applyAlignment="1">
      <alignment horizontal="center" vertical="center"/>
    </xf>
    <xf numFmtId="165" fontId="10" fillId="3" borderId="47" xfId="4" applyNumberFormat="1" applyFont="1" applyFill="1" applyBorder="1" applyAlignment="1">
      <alignment horizontal="center" vertical="center"/>
    </xf>
    <xf numFmtId="3" fontId="10" fillId="0" borderId="41" xfId="1" applyNumberFormat="1" applyFont="1" applyBorder="1" applyAlignment="1" applyProtection="1">
      <alignment horizontal="center" vertical="center"/>
      <protection locked="0"/>
    </xf>
    <xf numFmtId="3" fontId="10" fillId="0" borderId="44" xfId="1" applyNumberFormat="1" applyFont="1" applyBorder="1" applyAlignment="1" applyProtection="1">
      <alignment horizontal="center" vertical="center"/>
      <protection locked="0"/>
    </xf>
    <xf numFmtId="3" fontId="10" fillId="0" borderId="8" xfId="1" applyNumberFormat="1" applyFont="1" applyBorder="1" applyAlignment="1" applyProtection="1">
      <alignment horizontal="center" vertical="center"/>
      <protection locked="0"/>
    </xf>
    <xf numFmtId="0" fontId="10" fillId="0" borderId="40" xfId="1" applyFont="1" applyFill="1" applyBorder="1" applyAlignment="1" applyProtection="1">
      <alignment vertical="center"/>
      <protection locked="0"/>
    </xf>
    <xf numFmtId="0" fontId="10" fillId="0" borderId="43" xfId="1" applyFont="1" applyFill="1" applyBorder="1" applyAlignment="1" applyProtection="1">
      <alignment vertical="center"/>
      <protection locked="0"/>
    </xf>
    <xf numFmtId="0" fontId="10" fillId="0" borderId="43" xfId="1" applyFont="1" applyBorder="1" applyAlignment="1" applyProtection="1">
      <alignment vertical="center"/>
      <protection locked="0"/>
    </xf>
    <xf numFmtId="0" fontId="10" fillId="0" borderId="46" xfId="1" applyFont="1" applyBorder="1" applyAlignment="1" applyProtection="1">
      <alignment vertical="center"/>
      <protection locked="0"/>
    </xf>
    <xf numFmtId="0" fontId="0" fillId="0" borderId="0" xfId="0" applyNumberFormat="1" applyAlignment="1">
      <alignment vertical="center"/>
    </xf>
    <xf numFmtId="3" fontId="13" fillId="0" borderId="59" xfId="1" applyNumberFormat="1" applyBorder="1" applyAlignment="1">
      <alignment vertical="center"/>
    </xf>
    <xf numFmtId="3" fontId="13" fillId="0" borderId="60" xfId="1" applyNumberFormat="1" applyBorder="1" applyAlignment="1">
      <alignment vertical="center"/>
    </xf>
    <xf numFmtId="3" fontId="13" fillId="0" borderId="60" xfId="1" applyNumberFormat="1" applyFill="1" applyBorder="1" applyAlignment="1">
      <alignment vertical="center"/>
    </xf>
    <xf numFmtId="3" fontId="13" fillId="0" borderId="61" xfId="1" applyNumberFormat="1" applyBorder="1" applyAlignment="1">
      <alignment vertical="center"/>
    </xf>
    <xf numFmtId="3" fontId="34" fillId="10" borderId="24" xfId="3" applyNumberFormat="1" applyFont="1" applyFill="1" applyBorder="1" applyAlignment="1">
      <alignment vertical="center"/>
    </xf>
    <xf numFmtId="3" fontId="13" fillId="0" borderId="62" xfId="1" applyNumberFormat="1" applyBorder="1" applyAlignment="1">
      <alignment vertical="center"/>
    </xf>
    <xf numFmtId="3" fontId="13" fillId="0" borderId="63" xfId="1" applyNumberFormat="1" applyBorder="1" applyAlignment="1">
      <alignment vertical="center"/>
    </xf>
    <xf numFmtId="3" fontId="13" fillId="0" borderId="63" xfId="1" applyNumberFormat="1" applyFill="1" applyBorder="1" applyAlignment="1">
      <alignment vertical="center"/>
    </xf>
    <xf numFmtId="3" fontId="13" fillId="0" borderId="64" xfId="1" applyNumberFormat="1" applyBorder="1" applyAlignment="1">
      <alignment vertical="center"/>
    </xf>
    <xf numFmtId="3" fontId="34" fillId="10" borderId="26" xfId="3" applyNumberFormat="1" applyFont="1" applyFill="1" applyBorder="1" applyAlignment="1">
      <alignment vertical="center"/>
    </xf>
    <xf numFmtId="3" fontId="13" fillId="0" borderId="65" xfId="1" applyNumberFormat="1" applyBorder="1" applyAlignment="1">
      <alignment vertical="center"/>
    </xf>
    <xf numFmtId="3" fontId="13" fillId="0" borderId="66" xfId="1" applyNumberFormat="1" applyBorder="1" applyAlignment="1">
      <alignment vertical="center"/>
    </xf>
    <xf numFmtId="3" fontId="13" fillId="0" borderId="66" xfId="1" applyNumberFormat="1" applyFill="1" applyBorder="1" applyAlignment="1">
      <alignment vertical="center"/>
    </xf>
    <xf numFmtId="3" fontId="13" fillId="0" borderId="67" xfId="1" applyNumberFormat="1" applyBorder="1" applyAlignment="1">
      <alignment vertical="center"/>
    </xf>
    <xf numFmtId="3" fontId="34" fillId="10" borderId="58" xfId="3" applyNumberFormat="1" applyFont="1" applyFill="1" applyBorder="1" applyAlignment="1">
      <alignment vertical="center"/>
    </xf>
    <xf numFmtId="3" fontId="13" fillId="0" borderId="69" xfId="1" applyNumberFormat="1" applyBorder="1" applyAlignment="1">
      <alignment vertical="center"/>
    </xf>
    <xf numFmtId="3" fontId="13" fillId="0" borderId="70" xfId="1" applyNumberFormat="1" applyBorder="1" applyAlignment="1">
      <alignment vertical="center"/>
    </xf>
    <xf numFmtId="3" fontId="13" fillId="0" borderId="70" xfId="1" applyNumberFormat="1" applyFill="1" applyBorder="1" applyAlignment="1">
      <alignment vertical="center"/>
    </xf>
    <xf numFmtId="3" fontId="13" fillId="0" borderId="71" xfId="1" applyNumberFormat="1" applyBorder="1" applyAlignment="1">
      <alignment vertical="center"/>
    </xf>
    <xf numFmtId="3" fontId="34" fillId="10" borderId="68" xfId="3" applyNumberFormat="1" applyFont="1" applyFill="1" applyBorder="1" applyAlignment="1">
      <alignment vertical="center"/>
    </xf>
    <xf numFmtId="0" fontId="14" fillId="3" borderId="49" xfId="0" applyFont="1" applyFill="1" applyBorder="1" applyAlignment="1" applyProtection="1">
      <alignment horizontal="center" vertical="center" wrapText="1"/>
    </xf>
    <xf numFmtId="3" fontId="12" fillId="0" borderId="10" xfId="0" applyNumberFormat="1" applyFont="1" applyBorder="1" applyAlignment="1" applyProtection="1">
      <alignment horizontal="center" vertical="center" wrapText="1"/>
      <protection locked="0"/>
    </xf>
    <xf numFmtId="3" fontId="12" fillId="0" borderId="72" xfId="0" applyNumberFormat="1" applyFont="1" applyBorder="1" applyAlignment="1">
      <alignment horizontal="center" vertical="center"/>
    </xf>
    <xf numFmtId="3" fontId="12" fillId="0" borderId="1" xfId="0" applyNumberFormat="1" applyFont="1" applyBorder="1" applyAlignment="1" applyProtection="1">
      <alignment horizontal="center" vertical="center" wrapText="1"/>
      <protection locked="0"/>
    </xf>
    <xf numFmtId="0" fontId="10" fillId="0" borderId="0" xfId="0" applyFont="1" applyAlignment="1">
      <alignment horizontal="center" vertical="center"/>
    </xf>
    <xf numFmtId="0" fontId="14" fillId="3" borderId="56" xfId="0" applyFont="1" applyFill="1" applyBorder="1" applyAlignment="1">
      <alignment horizontal="center" vertical="center"/>
    </xf>
    <xf numFmtId="0" fontId="14" fillId="0" borderId="17" xfId="1" applyFont="1" applyFill="1" applyBorder="1" applyAlignment="1">
      <alignment horizontal="center" vertical="center"/>
    </xf>
    <xf numFmtId="0" fontId="14" fillId="0" borderId="10" xfId="1" applyFont="1" applyFill="1" applyBorder="1" applyAlignment="1">
      <alignment horizontal="center" vertical="center"/>
    </xf>
    <xf numFmtId="3" fontId="14" fillId="0" borderId="10" xfId="1" applyNumberFormat="1" applyFont="1" applyFill="1" applyBorder="1" applyAlignment="1">
      <alignment horizontal="center" vertical="center"/>
    </xf>
    <xf numFmtId="165" fontId="14" fillId="0" borderId="4" xfId="4" applyNumberFormat="1" applyFont="1" applyFill="1" applyBorder="1" applyAlignment="1">
      <alignment horizontal="center" vertical="center"/>
    </xf>
    <xf numFmtId="0" fontId="0" fillId="3" borderId="25" xfId="0" applyFill="1" applyBorder="1" applyAlignment="1">
      <alignment horizontal="centerContinuous" vertical="center"/>
    </xf>
    <xf numFmtId="0" fontId="0" fillId="3" borderId="26" xfId="0" applyFill="1" applyBorder="1" applyAlignment="1">
      <alignment horizontal="centerContinuous" vertical="center"/>
    </xf>
    <xf numFmtId="0" fontId="14" fillId="3" borderId="53" xfId="0" applyFont="1" applyFill="1" applyBorder="1" applyAlignment="1">
      <alignment horizontal="center" vertical="center"/>
    </xf>
    <xf numFmtId="0" fontId="14" fillId="11" borderId="24" xfId="0" applyFont="1" applyFill="1" applyBorder="1" applyAlignment="1">
      <alignment horizontal="centerContinuous" vertical="center"/>
    </xf>
    <xf numFmtId="0" fontId="0" fillId="11" borderId="25" xfId="0" applyFill="1" applyBorder="1" applyAlignment="1">
      <alignment horizontal="centerContinuous" vertical="center"/>
    </xf>
    <xf numFmtId="0" fontId="0" fillId="11" borderId="26" xfId="0" applyFill="1" applyBorder="1" applyAlignment="1">
      <alignment horizontal="centerContinuous" vertical="center"/>
    </xf>
    <xf numFmtId="0" fontId="13" fillId="11" borderId="25" xfId="0" applyFont="1" applyFill="1" applyBorder="1" applyAlignment="1">
      <alignment horizontal="centerContinuous" vertical="center"/>
    </xf>
    <xf numFmtId="0" fontId="13" fillId="11" borderId="26" xfId="0" applyFont="1" applyFill="1" applyBorder="1" applyAlignment="1">
      <alignment horizontal="centerContinuous" vertical="center"/>
    </xf>
    <xf numFmtId="0" fontId="14" fillId="11" borderId="6" xfId="0" applyFont="1" applyFill="1" applyBorder="1" applyAlignment="1" applyProtection="1">
      <alignment horizontal="center" vertical="center" wrapText="1"/>
    </xf>
    <xf numFmtId="0" fontId="14" fillId="11" borderId="3" xfId="0" applyFont="1" applyFill="1" applyBorder="1" applyAlignment="1" applyProtection="1">
      <alignment horizontal="center" vertical="center" wrapText="1"/>
    </xf>
    <xf numFmtId="0" fontId="14" fillId="11" borderId="27" xfId="0" applyFont="1" applyFill="1" applyBorder="1" applyAlignment="1" applyProtection="1">
      <alignment horizontal="center" vertical="center" wrapText="1"/>
    </xf>
    <xf numFmtId="0" fontId="14" fillId="11" borderId="49" xfId="0" applyFont="1" applyFill="1" applyBorder="1" applyAlignment="1" applyProtection="1">
      <alignment horizontal="center" vertical="center" wrapText="1"/>
    </xf>
    <xf numFmtId="0" fontId="30" fillId="0" borderId="0" xfId="0" applyFont="1" applyAlignment="1">
      <alignment horizontal="centerContinuous" vertical="center"/>
    </xf>
    <xf numFmtId="0" fontId="38" fillId="0" borderId="0" xfId="5" applyFont="1" applyAlignment="1">
      <alignment horizontal="centerContinuous" vertical="center"/>
    </xf>
    <xf numFmtId="0" fontId="37" fillId="0" borderId="0" xfId="5" applyAlignment="1">
      <alignment horizontal="centerContinuous" vertical="center"/>
    </xf>
    <xf numFmtId="0" fontId="37" fillId="0" borderId="0" xfId="5" applyAlignment="1">
      <alignment vertical="center"/>
    </xf>
    <xf numFmtId="49" fontId="37" fillId="0" borderId="0" xfId="5" applyNumberFormat="1" applyAlignment="1">
      <alignment vertical="center"/>
    </xf>
    <xf numFmtId="167" fontId="39" fillId="12" borderId="73" xfId="5" applyNumberFormat="1" applyFont="1" applyFill="1" applyBorder="1" applyAlignment="1">
      <alignment horizontal="centerContinuous" vertical="center"/>
    </xf>
    <xf numFmtId="167" fontId="39" fillId="12" borderId="74" xfId="5" applyNumberFormat="1" applyFont="1" applyFill="1" applyBorder="1" applyAlignment="1">
      <alignment horizontal="centerContinuous" vertical="center"/>
    </xf>
    <xf numFmtId="0" fontId="37" fillId="12" borderId="74" xfId="5" applyFill="1" applyBorder="1" applyAlignment="1">
      <alignment horizontal="centerContinuous" vertical="center"/>
    </xf>
    <xf numFmtId="0" fontId="37" fillId="12" borderId="75" xfId="5" applyFill="1" applyBorder="1" applyAlignment="1">
      <alignment horizontal="centerContinuous" vertical="center"/>
    </xf>
    <xf numFmtId="0" fontId="39" fillId="12" borderId="73" xfId="5" applyFont="1" applyFill="1" applyBorder="1" applyAlignment="1">
      <alignment horizontal="centerContinuous" vertical="center"/>
    </xf>
    <xf numFmtId="0" fontId="39" fillId="12" borderId="74" xfId="5" applyFont="1" applyFill="1" applyBorder="1" applyAlignment="1">
      <alignment horizontal="centerContinuous" vertical="center"/>
    </xf>
    <xf numFmtId="0" fontId="39" fillId="12" borderId="75" xfId="5" applyFont="1" applyFill="1" applyBorder="1" applyAlignment="1">
      <alignment horizontal="centerContinuous" vertical="center"/>
    </xf>
    <xf numFmtId="0" fontId="39" fillId="3" borderId="1" xfId="5" applyFont="1" applyFill="1" applyBorder="1" applyAlignment="1">
      <alignment horizontal="center" vertical="center" wrapText="1"/>
    </xf>
    <xf numFmtId="0" fontId="37" fillId="12" borderId="76" xfId="5" applyFont="1" applyFill="1" applyBorder="1" applyAlignment="1">
      <alignment horizontal="center" vertical="center" wrapText="1"/>
    </xf>
    <xf numFmtId="0" fontId="37" fillId="12" borderId="77" xfId="5" applyFont="1" applyFill="1" applyBorder="1" applyAlignment="1">
      <alignment horizontal="center" vertical="center" wrapText="1"/>
    </xf>
    <xf numFmtId="0" fontId="37" fillId="12" borderId="78" xfId="5" applyFont="1" applyFill="1" applyBorder="1" applyAlignment="1">
      <alignment horizontal="center" vertical="center" wrapText="1"/>
    </xf>
    <xf numFmtId="0" fontId="37" fillId="12" borderId="79" xfId="5" applyFont="1" applyFill="1" applyBorder="1" applyAlignment="1">
      <alignment horizontal="center" vertical="center" wrapText="1"/>
    </xf>
    <xf numFmtId="167" fontId="0" fillId="12" borderId="80" xfId="6" applyNumberFormat="1" applyFont="1" applyFill="1" applyBorder="1" applyAlignment="1">
      <alignment horizontal="center" vertical="center" wrapText="1"/>
    </xf>
    <xf numFmtId="167" fontId="37" fillId="12" borderId="81" xfId="6" applyNumberFormat="1" applyFont="1" applyFill="1" applyBorder="1" applyAlignment="1">
      <alignment horizontal="center" vertical="center" wrapText="1"/>
    </xf>
    <xf numFmtId="167" fontId="0" fillId="12" borderId="82" xfId="6" applyNumberFormat="1" applyFont="1" applyFill="1" applyBorder="1" applyAlignment="1">
      <alignment horizontal="center" vertical="center" wrapText="1"/>
    </xf>
    <xf numFmtId="167" fontId="0" fillId="12" borderId="83" xfId="6" applyNumberFormat="1" applyFont="1" applyFill="1" applyBorder="1" applyAlignment="1">
      <alignment horizontal="center" vertical="center" wrapText="1"/>
    </xf>
    <xf numFmtId="167" fontId="0" fillId="12" borderId="84" xfId="6" applyNumberFormat="1" applyFont="1" applyFill="1" applyBorder="1" applyAlignment="1">
      <alignment horizontal="center" vertical="center" wrapText="1"/>
    </xf>
    <xf numFmtId="167" fontId="0" fillId="12" borderId="81" xfId="6" applyNumberFormat="1" applyFont="1" applyFill="1" applyBorder="1" applyAlignment="1">
      <alignment horizontal="center" vertical="center" wrapText="1"/>
    </xf>
    <xf numFmtId="167" fontId="0" fillId="12" borderId="85" xfId="6" applyNumberFormat="1" applyFont="1" applyFill="1" applyBorder="1" applyAlignment="1">
      <alignment horizontal="center" vertical="center" wrapText="1"/>
    </xf>
    <xf numFmtId="167" fontId="37" fillId="12" borderId="79" xfId="6" applyNumberFormat="1" applyFont="1" applyFill="1" applyBorder="1" applyAlignment="1">
      <alignment horizontal="center" vertical="center" wrapText="1"/>
    </xf>
    <xf numFmtId="49" fontId="40" fillId="0" borderId="86" xfId="5" applyNumberFormat="1" applyFont="1" applyBorder="1" applyAlignment="1">
      <alignment vertical="center"/>
    </xf>
    <xf numFmtId="0" fontId="37" fillId="0" borderId="86" xfId="5" applyBorder="1" applyAlignment="1">
      <alignment vertical="center"/>
    </xf>
    <xf numFmtId="0" fontId="37" fillId="0" borderId="86" xfId="5" applyBorder="1" applyAlignment="1">
      <alignment horizontal="center" vertical="center"/>
    </xf>
    <xf numFmtId="167" fontId="41" fillId="0" borderId="86" xfId="6" applyNumberFormat="1" applyFont="1" applyBorder="1" applyAlignment="1">
      <alignment vertical="center"/>
    </xf>
    <xf numFmtId="165" fontId="41" fillId="0" borderId="86" xfId="5" applyNumberFormat="1" applyFont="1" applyBorder="1" applyAlignment="1">
      <alignment vertical="center"/>
    </xf>
    <xf numFmtId="165" fontId="41" fillId="0" borderId="86" xfId="6" applyNumberFormat="1" applyFont="1" applyBorder="1" applyAlignment="1">
      <alignment vertical="center"/>
    </xf>
    <xf numFmtId="37" fontId="41" fillId="0" borderId="86" xfId="6" applyNumberFormat="1" applyFont="1" applyBorder="1" applyAlignment="1">
      <alignment vertical="center"/>
    </xf>
    <xf numFmtId="3" fontId="41" fillId="0" borderId="86" xfId="6" applyNumberFormat="1" applyFont="1" applyBorder="1" applyAlignment="1">
      <alignment vertical="center"/>
    </xf>
    <xf numFmtId="49" fontId="40" fillId="0" borderId="87" xfId="5" applyNumberFormat="1" applyFont="1" applyBorder="1" applyAlignment="1">
      <alignment vertical="center"/>
    </xf>
    <xf numFmtId="0" fontId="37" fillId="0" borderId="87" xfId="5" applyBorder="1" applyAlignment="1">
      <alignment vertical="center"/>
    </xf>
    <xf numFmtId="0" fontId="37" fillId="0" borderId="87" xfId="5" applyBorder="1" applyAlignment="1">
      <alignment horizontal="center" vertical="center"/>
    </xf>
    <xf numFmtId="167" fontId="41" fillId="0" borderId="87" xfId="6" applyNumberFormat="1" applyFont="1" applyBorder="1" applyAlignment="1">
      <alignment vertical="center"/>
    </xf>
    <xf numFmtId="165" fontId="41" fillId="0" borderId="87" xfId="5" applyNumberFormat="1" applyFont="1" applyBorder="1" applyAlignment="1">
      <alignment vertical="center"/>
    </xf>
    <xf numFmtId="165" fontId="41" fillId="0" borderId="87" xfId="6" applyNumberFormat="1" applyFont="1" applyBorder="1" applyAlignment="1">
      <alignment vertical="center"/>
    </xf>
    <xf numFmtId="37" fontId="41" fillId="0" borderId="87" xfId="6" applyNumberFormat="1" applyFont="1" applyBorder="1" applyAlignment="1">
      <alignment vertical="center"/>
    </xf>
    <xf numFmtId="3" fontId="41" fillId="0" borderId="87" xfId="6" applyNumberFormat="1" applyFont="1" applyBorder="1" applyAlignment="1">
      <alignment vertical="center"/>
    </xf>
    <xf numFmtId="49" fontId="40" fillId="0" borderId="87" xfId="5" applyNumberFormat="1" applyFont="1" applyFill="1" applyBorder="1" applyAlignment="1">
      <alignment vertical="center"/>
    </xf>
    <xf numFmtId="0" fontId="37" fillId="0" borderId="87" xfId="5" applyFill="1" applyBorder="1" applyAlignment="1">
      <alignment vertical="center"/>
    </xf>
    <xf numFmtId="0" fontId="37" fillId="0" borderId="87" xfId="5" applyFill="1" applyBorder="1" applyAlignment="1">
      <alignment horizontal="center" vertical="center"/>
    </xf>
    <xf numFmtId="165" fontId="41" fillId="0" borderId="88" xfId="5" applyNumberFormat="1" applyFont="1" applyBorder="1" applyAlignment="1">
      <alignment vertical="center"/>
    </xf>
    <xf numFmtId="165" fontId="41" fillId="0" borderId="88" xfId="6" applyNumberFormat="1" applyFont="1" applyBorder="1" applyAlignment="1">
      <alignment vertical="center"/>
    </xf>
    <xf numFmtId="0" fontId="37" fillId="0" borderId="0" xfId="5" applyAlignment="1">
      <alignment horizontal="center" vertical="center"/>
    </xf>
    <xf numFmtId="0" fontId="41" fillId="0" borderId="0" xfId="5" applyFont="1" applyAlignment="1">
      <alignment vertical="center"/>
    </xf>
    <xf numFmtId="3" fontId="42" fillId="0" borderId="0" xfId="5" applyNumberFormat="1" applyFont="1" applyFill="1" applyBorder="1" applyAlignment="1">
      <alignment vertical="center"/>
    </xf>
    <xf numFmtId="165" fontId="43" fillId="0" borderId="89" xfId="5" applyNumberFormat="1" applyFont="1" applyBorder="1" applyAlignment="1">
      <alignment horizontal="centerContinuous" vertical="center" wrapText="1"/>
    </xf>
    <xf numFmtId="165" fontId="43" fillId="0" borderId="90" xfId="5" applyNumberFormat="1" applyFont="1" applyBorder="1" applyAlignment="1">
      <alignment horizontal="centerContinuous" vertical="center" wrapText="1"/>
    </xf>
    <xf numFmtId="165" fontId="43" fillId="0" borderId="91" xfId="5" applyNumberFormat="1" applyFont="1" applyBorder="1" applyAlignment="1">
      <alignment horizontal="centerContinuous" vertical="center" wrapText="1"/>
    </xf>
    <xf numFmtId="165" fontId="41" fillId="0" borderId="0" xfId="5" applyNumberFormat="1" applyFont="1" applyAlignment="1">
      <alignment vertical="center"/>
    </xf>
    <xf numFmtId="49" fontId="37" fillId="0" borderId="86" xfId="5" applyNumberFormat="1" applyBorder="1" applyAlignment="1">
      <alignment vertical="center"/>
    </xf>
    <xf numFmtId="167" fontId="41" fillId="0" borderId="86" xfId="5" applyNumberFormat="1" applyFont="1" applyBorder="1" applyAlignment="1">
      <alignment vertical="center"/>
    </xf>
    <xf numFmtId="165" fontId="43" fillId="0" borderId="92" xfId="5" applyNumberFormat="1" applyFont="1" applyFill="1" applyBorder="1" applyAlignment="1">
      <alignment vertical="center"/>
    </xf>
    <xf numFmtId="165" fontId="43" fillId="0" borderId="93" xfId="5" applyNumberFormat="1" applyFont="1" applyFill="1" applyBorder="1" applyAlignment="1">
      <alignment vertical="center"/>
    </xf>
    <xf numFmtId="165" fontId="43" fillId="0" borderId="94" xfId="6" applyNumberFormat="1" applyFont="1" applyFill="1" applyBorder="1" applyAlignment="1">
      <alignment vertical="center"/>
    </xf>
    <xf numFmtId="165" fontId="0" fillId="0" borderId="0" xfId="7" applyNumberFormat="1" applyFont="1" applyAlignment="1">
      <alignment vertical="center"/>
    </xf>
    <xf numFmtId="0" fontId="37" fillId="0" borderId="0" xfId="5" applyAlignment="1">
      <alignment horizontal="center" vertical="top"/>
    </xf>
    <xf numFmtId="3" fontId="37" fillId="0" borderId="0" xfId="5" applyNumberFormat="1" applyAlignment="1">
      <alignment horizontal="center" vertical="top"/>
    </xf>
    <xf numFmtId="0" fontId="37" fillId="11" borderId="0" xfId="5" applyFill="1" applyAlignment="1">
      <alignment horizontal="centerContinuous" vertical="center"/>
    </xf>
    <xf numFmtId="0" fontId="38" fillId="11" borderId="0" xfId="5" applyFont="1" applyFill="1" applyAlignment="1">
      <alignment horizontal="centerContinuous" vertical="center"/>
    </xf>
    <xf numFmtId="49" fontId="45" fillId="0" borderId="86" xfId="5" applyNumberFormat="1" applyFont="1" applyBorder="1" applyAlignment="1">
      <alignment vertical="center"/>
    </xf>
    <xf numFmtId="0" fontId="0" fillId="0" borderId="0" xfId="0" applyAlignment="1">
      <alignment horizontal="left" vertical="center"/>
    </xf>
    <xf numFmtId="3" fontId="0" fillId="0" borderId="0" xfId="0" applyNumberFormat="1" applyAlignment="1">
      <alignment horizontal="center" vertical="center"/>
    </xf>
    <xf numFmtId="0" fontId="0" fillId="12" borderId="0" xfId="0" applyFill="1" applyAlignment="1">
      <alignment horizontal="left" vertical="center"/>
    </xf>
    <xf numFmtId="3" fontId="0" fillId="12" borderId="0" xfId="0" applyNumberFormat="1" applyFill="1" applyAlignment="1">
      <alignment horizontal="center" vertical="center"/>
    </xf>
    <xf numFmtId="164" fontId="0" fillId="0" borderId="0" xfId="0" applyNumberFormat="1" applyFill="1" applyAlignment="1">
      <alignment vertical="center"/>
    </xf>
    <xf numFmtId="0" fontId="30" fillId="0" borderId="0" xfId="0" applyFont="1" applyAlignment="1">
      <alignment horizontal="center" vertical="center"/>
    </xf>
    <xf numFmtId="0" fontId="24" fillId="0" borderId="0" xfId="0" applyFont="1" applyAlignment="1">
      <alignment horizontal="left" vertical="center"/>
    </xf>
    <xf numFmtId="0" fontId="14" fillId="11" borderId="95" xfId="0" applyFont="1" applyFill="1" applyBorder="1" applyAlignment="1" applyProtection="1">
      <alignment horizontal="center" vertical="center" wrapText="1"/>
    </xf>
    <xf numFmtId="0" fontId="14" fillId="11" borderId="25" xfId="0" applyFont="1" applyFill="1" applyBorder="1" applyAlignment="1">
      <alignment horizontal="centerContinuous" vertical="center"/>
    </xf>
    <xf numFmtId="0" fontId="14" fillId="11" borderId="32" xfId="0" applyFont="1" applyFill="1" applyBorder="1" applyAlignment="1" applyProtection="1">
      <alignment horizontal="center" vertical="center" wrapText="1"/>
    </xf>
    <xf numFmtId="3" fontId="12" fillId="0" borderId="97" xfId="0" applyNumberFormat="1" applyFont="1" applyBorder="1" applyAlignment="1">
      <alignment horizontal="center" vertical="center"/>
    </xf>
    <xf numFmtId="10" fontId="12" fillId="0" borderId="17" xfId="2" applyNumberFormat="1" applyFont="1" applyBorder="1" applyAlignment="1" applyProtection="1">
      <alignment horizontal="center" vertical="center" wrapText="1"/>
    </xf>
    <xf numFmtId="10" fontId="12" fillId="0" borderId="96" xfId="2" applyNumberFormat="1" applyFont="1" applyBorder="1" applyAlignment="1" applyProtection="1">
      <alignment horizontal="center" vertical="center"/>
    </xf>
    <xf numFmtId="0" fontId="14" fillId="3" borderId="95" xfId="0" applyFont="1" applyFill="1" applyBorder="1" applyAlignment="1" applyProtection="1">
      <alignment horizontal="center" vertical="center" wrapText="1"/>
    </xf>
    <xf numFmtId="0" fontId="14" fillId="0" borderId="0" xfId="0" quotePrefix="1" applyFont="1" applyAlignment="1">
      <alignment vertical="center"/>
    </xf>
    <xf numFmtId="3" fontId="12" fillId="0" borderId="1" xfId="0" applyNumberFormat="1" applyFont="1" applyBorder="1" applyAlignment="1" applyProtection="1">
      <alignment horizontal="center" vertical="center" wrapText="1"/>
    </xf>
    <xf numFmtId="0" fontId="10" fillId="0" borderId="7" xfId="0" applyFont="1" applyBorder="1" applyAlignment="1">
      <alignment horizontal="center" vertical="center"/>
    </xf>
    <xf numFmtId="166" fontId="12" fillId="0" borderId="5" xfId="0" applyNumberFormat="1" applyFont="1" applyFill="1" applyBorder="1" applyAlignment="1" applyProtection="1">
      <alignment horizontal="center" vertical="center"/>
    </xf>
    <xf numFmtId="166" fontId="12" fillId="0" borderId="13" xfId="0" applyNumberFormat="1" applyFont="1" applyFill="1" applyBorder="1" applyAlignment="1" applyProtection="1">
      <alignment horizontal="center" vertical="center"/>
    </xf>
    <xf numFmtId="0" fontId="10" fillId="0" borderId="7" xfId="0" applyFont="1" applyBorder="1" applyAlignment="1">
      <alignment horizontal="center" vertical="center"/>
    </xf>
    <xf numFmtId="0" fontId="10" fillId="0" borderId="31" xfId="0" applyFont="1" applyBorder="1" applyAlignment="1">
      <alignment horizontal="center"/>
    </xf>
    <xf numFmtId="0" fontId="10" fillId="0" borderId="7" xfId="0" applyFont="1" applyBorder="1" applyAlignment="1">
      <alignment horizontal="center"/>
    </xf>
    <xf numFmtId="0" fontId="14" fillId="11" borderId="26" xfId="0" applyFont="1" applyFill="1" applyBorder="1" applyAlignment="1">
      <alignment horizontal="centerContinuous" vertical="center"/>
    </xf>
    <xf numFmtId="0" fontId="14" fillId="11" borderId="33" xfId="0" applyFont="1" applyFill="1" applyBorder="1" applyAlignment="1" applyProtection="1">
      <alignment horizontal="center" vertical="center" wrapText="1"/>
    </xf>
    <xf numFmtId="0" fontId="14" fillId="11" borderId="25" xfId="0" applyFont="1" applyFill="1" applyBorder="1" applyAlignment="1">
      <alignment horizontal="centerContinuous" vertical="center" wrapText="1"/>
    </xf>
    <xf numFmtId="0" fontId="14" fillId="11" borderId="26" xfId="0" applyFont="1" applyFill="1" applyBorder="1" applyAlignment="1">
      <alignment horizontal="centerContinuous" vertical="center" wrapText="1"/>
    </xf>
    <xf numFmtId="0" fontId="14" fillId="3" borderId="48" xfId="0" applyFont="1" applyFill="1" applyBorder="1" applyAlignment="1" applyProtection="1">
      <alignment horizontal="center" vertical="center" wrapText="1"/>
    </xf>
    <xf numFmtId="3" fontId="12" fillId="0" borderId="36" xfId="0" applyNumberFormat="1" applyFont="1" applyBorder="1" applyAlignment="1">
      <alignment horizontal="center" vertical="center"/>
    </xf>
    <xf numFmtId="0" fontId="14" fillId="11" borderId="48" xfId="0" applyFont="1" applyFill="1" applyBorder="1" applyAlignment="1" applyProtection="1">
      <alignment horizontal="center" vertical="center" wrapText="1"/>
    </xf>
    <xf numFmtId="0" fontId="0" fillId="10" borderId="16" xfId="0" applyFont="1" applyFill="1" applyBorder="1" applyAlignment="1">
      <alignment horizontal="center" vertical="center"/>
    </xf>
    <xf numFmtId="0" fontId="0" fillId="10" borderId="17" xfId="0" applyFill="1" applyBorder="1" applyAlignment="1">
      <alignment horizontal="centerContinuous" vertical="center"/>
    </xf>
    <xf numFmtId="0" fontId="0" fillId="10" borderId="10" xfId="0" applyFill="1" applyBorder="1" applyAlignment="1">
      <alignment horizontal="centerContinuous" vertical="center"/>
    </xf>
    <xf numFmtId="0" fontId="0" fillId="10" borderId="4" xfId="0" applyFill="1" applyBorder="1" applyAlignment="1">
      <alignment horizontal="centerContinuous" vertical="center"/>
    </xf>
    <xf numFmtId="0" fontId="0" fillId="0" borderId="1" xfId="0" applyNumberFormat="1" applyFont="1" applyBorder="1" applyAlignment="1" applyProtection="1">
      <alignment horizontal="center" vertical="center"/>
      <protection locked="0"/>
    </xf>
    <xf numFmtId="0" fontId="0" fillId="0" borderId="4" xfId="0" applyNumberFormat="1" applyFont="1" applyBorder="1" applyAlignment="1" applyProtection="1">
      <alignment horizontal="center" vertical="center"/>
      <protection locked="0"/>
    </xf>
    <xf numFmtId="0" fontId="0" fillId="10" borderId="98" xfId="0" applyFont="1" applyFill="1" applyBorder="1" applyAlignment="1">
      <alignment horizontal="center" vertical="center"/>
    </xf>
    <xf numFmtId="0" fontId="10" fillId="10" borderId="37" xfId="0" applyFont="1" applyFill="1" applyBorder="1" applyAlignment="1">
      <alignment horizontal="center" vertical="center"/>
    </xf>
    <xf numFmtId="0" fontId="14" fillId="3" borderId="99" xfId="0" applyFont="1" applyFill="1" applyBorder="1" applyAlignment="1">
      <alignment horizontal="left" vertical="center" wrapText="1" indent="1"/>
    </xf>
    <xf numFmtId="0" fontId="14" fillId="3" borderId="100" xfId="0" applyFont="1" applyFill="1" applyBorder="1" applyAlignment="1">
      <alignment horizontal="left" vertical="center" wrapText="1" indent="1"/>
    </xf>
    <xf numFmtId="0" fontId="14" fillId="3" borderId="101" xfId="0" applyFont="1" applyFill="1" applyBorder="1" applyAlignment="1">
      <alignment horizontal="left" vertical="center" wrapText="1" indent="1"/>
    </xf>
    <xf numFmtId="165" fontId="12" fillId="0" borderId="5" xfId="0" applyNumberFormat="1" applyFont="1" applyBorder="1" applyAlignment="1" applyProtection="1">
      <alignment horizontal="center" vertical="center"/>
    </xf>
    <xf numFmtId="3" fontId="30" fillId="0" borderId="21" xfId="0" applyNumberFormat="1" applyFont="1" applyBorder="1" applyAlignment="1">
      <alignment horizontal="center" vertical="center"/>
    </xf>
    <xf numFmtId="3" fontId="30" fillId="0" borderId="12" xfId="0" applyNumberFormat="1" applyFont="1" applyBorder="1" applyAlignment="1">
      <alignment horizontal="center" vertical="center"/>
    </xf>
    <xf numFmtId="0" fontId="14" fillId="11" borderId="99" xfId="0" applyFont="1" applyFill="1" applyBorder="1" applyAlignment="1">
      <alignment horizontal="left" vertical="center" wrapText="1" indent="1"/>
    </xf>
    <xf numFmtId="0" fontId="14" fillId="11" borderId="100" xfId="0" applyFont="1" applyFill="1" applyBorder="1" applyAlignment="1">
      <alignment horizontal="left" vertical="center" wrapText="1" indent="1"/>
    </xf>
    <xf numFmtId="0" fontId="14" fillId="11" borderId="101" xfId="0" applyFont="1" applyFill="1" applyBorder="1" applyAlignment="1">
      <alignment horizontal="left" vertical="center" wrapText="1" indent="1"/>
    </xf>
    <xf numFmtId="165" fontId="30" fillId="0" borderId="12" xfId="2" applyNumberFormat="1" applyFont="1" applyBorder="1" applyAlignment="1">
      <alignment horizontal="center" vertical="center"/>
    </xf>
    <xf numFmtId="165" fontId="30" fillId="0" borderId="13" xfId="2" applyNumberFormat="1" applyFont="1" applyBorder="1" applyAlignment="1">
      <alignment horizontal="center" vertical="center"/>
    </xf>
    <xf numFmtId="1" fontId="0" fillId="0" borderId="0" xfId="0" applyNumberFormat="1" applyAlignment="1">
      <alignment vertical="center"/>
    </xf>
    <xf numFmtId="1" fontId="24" fillId="0" borderId="0" xfId="0" applyNumberFormat="1" applyFont="1" applyAlignment="1">
      <alignment vertical="center"/>
    </xf>
    <xf numFmtId="1" fontId="0" fillId="0" borderId="0" xfId="0" applyNumberFormat="1" applyAlignment="1">
      <alignment horizontal="left" vertical="center"/>
    </xf>
    <xf numFmtId="49" fontId="25" fillId="2" borderId="0" xfId="0" quotePrefix="1" applyNumberFormat="1" applyFont="1" applyFill="1" applyBorder="1" applyAlignment="1">
      <alignment horizontal="left" vertical="center"/>
    </xf>
    <xf numFmtId="164" fontId="24" fillId="0" borderId="0" xfId="0" applyNumberFormat="1" applyFont="1" applyFill="1" applyAlignment="1">
      <alignment horizontal="left" vertical="center"/>
    </xf>
    <xf numFmtId="3" fontId="12" fillId="0" borderId="4" xfId="0" applyNumberFormat="1" applyFont="1" applyBorder="1" applyAlignment="1" applyProtection="1">
      <alignment horizontal="center" vertical="center"/>
      <protection locked="0"/>
    </xf>
    <xf numFmtId="3" fontId="12" fillId="0" borderId="4" xfId="0" applyNumberFormat="1" applyFont="1" applyBorder="1" applyAlignment="1" applyProtection="1">
      <alignment horizontal="center" vertical="center"/>
    </xf>
    <xf numFmtId="0" fontId="14" fillId="11" borderId="100" xfId="0" applyFont="1" applyFill="1" applyBorder="1" applyAlignment="1" applyProtection="1">
      <alignment horizontal="left" vertical="center" wrapText="1" indent="1"/>
      <protection locked="0"/>
    </xf>
    <xf numFmtId="3" fontId="12" fillId="0" borderId="12" xfId="0" applyNumberFormat="1" applyFont="1" applyBorder="1" applyAlignment="1" applyProtection="1">
      <alignment horizontal="center" vertical="center"/>
    </xf>
    <xf numFmtId="165" fontId="12" fillId="0" borderId="12" xfId="0" applyNumberFormat="1" applyFont="1" applyBorder="1" applyAlignment="1" applyProtection="1">
      <alignment horizontal="center" vertical="center"/>
    </xf>
    <xf numFmtId="165" fontId="12" fillId="0" borderId="13" xfId="0" applyNumberFormat="1" applyFont="1" applyBorder="1" applyAlignment="1" applyProtection="1">
      <alignment horizontal="center" vertical="center"/>
    </xf>
    <xf numFmtId="0" fontId="30" fillId="11" borderId="25" xfId="0" applyFont="1" applyFill="1" applyBorder="1" applyAlignment="1">
      <alignment horizontal="centerContinuous" vertical="center"/>
    </xf>
    <xf numFmtId="0" fontId="30" fillId="11" borderId="26" xfId="0" applyFont="1" applyFill="1" applyBorder="1" applyAlignment="1">
      <alignment horizontal="centerContinuous" vertical="center"/>
    </xf>
    <xf numFmtId="0" fontId="30" fillId="3" borderId="56" xfId="0" applyFont="1" applyFill="1" applyBorder="1" applyAlignment="1">
      <alignment horizontal="centerContinuous" vertical="center"/>
    </xf>
    <xf numFmtId="0" fontId="14" fillId="11" borderId="102" xfId="0" applyFont="1" applyFill="1" applyBorder="1" applyAlignment="1" applyProtection="1">
      <alignment horizontal="left" vertical="center" wrapText="1" indent="1"/>
      <protection locked="0"/>
    </xf>
    <xf numFmtId="3" fontId="12" fillId="0" borderId="97" xfId="0" applyNumberFormat="1" applyFont="1" applyBorder="1" applyAlignment="1" applyProtection="1">
      <alignment horizontal="center" vertical="center"/>
    </xf>
    <xf numFmtId="0" fontId="14" fillId="3" borderId="103" xfId="0" applyFont="1" applyFill="1" applyBorder="1" applyAlignment="1">
      <alignment horizontal="center" vertical="center"/>
    </xf>
    <xf numFmtId="0" fontId="13" fillId="0" borderId="22" xfId="0" applyFont="1" applyBorder="1" applyAlignment="1">
      <alignment horizontal="center" vertical="center"/>
    </xf>
    <xf numFmtId="0" fontId="10" fillId="0" borderId="22" xfId="0" applyFont="1" applyBorder="1" applyAlignment="1">
      <alignment horizontal="center" vertical="center"/>
    </xf>
    <xf numFmtId="0" fontId="13" fillId="0" borderId="23" xfId="0" applyFont="1" applyBorder="1" applyAlignment="1">
      <alignment horizontal="center" vertical="center"/>
    </xf>
    <xf numFmtId="0" fontId="30" fillId="3" borderId="25" xfId="0" applyFont="1" applyFill="1" applyBorder="1" applyAlignment="1">
      <alignment horizontal="centerContinuous" vertical="center"/>
    </xf>
    <xf numFmtId="0" fontId="30" fillId="3" borderId="26" xfId="0" applyFont="1" applyFill="1" applyBorder="1" applyAlignment="1">
      <alignment horizontal="centerContinuous" vertical="center"/>
    </xf>
    <xf numFmtId="0" fontId="14" fillId="3" borderId="99" xfId="0" applyFont="1" applyFill="1" applyBorder="1" applyAlignment="1" applyProtection="1">
      <alignment horizontal="left" vertical="center" wrapText="1" indent="1"/>
      <protection locked="0"/>
    </xf>
    <xf numFmtId="0" fontId="14" fillId="3" borderId="100" xfId="0" applyFont="1" applyFill="1" applyBorder="1" applyAlignment="1" applyProtection="1">
      <alignment horizontal="left" vertical="center" wrapText="1" indent="1"/>
      <protection locked="0"/>
    </xf>
    <xf numFmtId="3" fontId="12" fillId="0" borderId="2" xfId="0" applyNumberFormat="1" applyFont="1" applyBorder="1" applyAlignment="1" applyProtection="1">
      <alignment horizontal="center" vertical="center"/>
    </xf>
    <xf numFmtId="3" fontId="12" fillId="0" borderId="21" xfId="0" applyNumberFormat="1" applyFont="1" applyBorder="1" applyAlignment="1" applyProtection="1">
      <alignment horizontal="center" vertical="center"/>
    </xf>
    <xf numFmtId="0" fontId="14" fillId="11" borderId="99" xfId="0" applyFont="1" applyFill="1" applyBorder="1" applyAlignment="1" applyProtection="1">
      <alignment horizontal="left" vertical="center" wrapText="1" indent="1"/>
      <protection locked="0"/>
    </xf>
    <xf numFmtId="0" fontId="47" fillId="11" borderId="25" xfId="0" applyFont="1" applyFill="1" applyBorder="1" applyAlignment="1">
      <alignment horizontal="centerContinuous" vertical="center"/>
    </xf>
    <xf numFmtId="0" fontId="47" fillId="3" borderId="24" xfId="0" applyFont="1" applyFill="1" applyBorder="1" applyAlignment="1">
      <alignment horizontal="centerContinuous" vertical="center"/>
    </xf>
    <xf numFmtId="0" fontId="47" fillId="11" borderId="24" xfId="0" applyFont="1" applyFill="1" applyBorder="1" applyAlignment="1">
      <alignment horizontal="centerContinuous" vertical="center"/>
    </xf>
    <xf numFmtId="0" fontId="47" fillId="3" borderId="25" xfId="0" applyFont="1" applyFill="1" applyBorder="1" applyAlignment="1">
      <alignment horizontal="centerContinuous" vertical="center"/>
    </xf>
    <xf numFmtId="0" fontId="47" fillId="3" borderId="25" xfId="0" applyFont="1" applyFill="1" applyBorder="1" applyAlignment="1">
      <alignment horizontal="centerContinuous" vertical="center" wrapText="1"/>
    </xf>
    <xf numFmtId="0" fontId="47" fillId="11" borderId="24" xfId="0" applyFont="1" applyFill="1" applyBorder="1" applyAlignment="1">
      <alignment horizontal="centerContinuous" vertical="center" wrapText="1"/>
    </xf>
    <xf numFmtId="49" fontId="39" fillId="13" borderId="0" xfId="5" applyNumberFormat="1" applyFont="1" applyFill="1" applyAlignment="1">
      <alignment horizontal="centerContinuous" vertical="center"/>
    </xf>
    <xf numFmtId="0" fontId="37" fillId="13" borderId="0" xfId="5" applyFill="1" applyAlignment="1">
      <alignment horizontal="centerContinuous" vertical="center"/>
    </xf>
    <xf numFmtId="0" fontId="0" fillId="12" borderId="17" xfId="0" applyFill="1" applyBorder="1" applyAlignment="1">
      <alignment vertical="center"/>
    </xf>
    <xf numFmtId="0" fontId="0" fillId="12" borderId="1" xfId="0" applyFill="1" applyBorder="1" applyAlignment="1">
      <alignment horizontal="center" vertical="center" wrapText="1"/>
    </xf>
    <xf numFmtId="0" fontId="14" fillId="12" borderId="17" xfId="0" applyFont="1" applyFill="1" applyBorder="1" applyAlignment="1">
      <alignment vertical="center"/>
    </xf>
    <xf numFmtId="0" fontId="14" fillId="12" borderId="1" xfId="0" applyFont="1" applyFill="1" applyBorder="1" applyAlignment="1">
      <alignment horizontal="center" vertical="center" wrapText="1"/>
    </xf>
    <xf numFmtId="0" fontId="52" fillId="0" borderId="0" xfId="0" applyFont="1" applyAlignment="1">
      <alignment horizontal="centerContinuous" vertical="center"/>
    </xf>
    <xf numFmtId="0" fontId="0" fillId="0" borderId="104" xfId="0" applyBorder="1" applyAlignment="1">
      <alignment horizontal="left" vertical="center"/>
    </xf>
    <xf numFmtId="3" fontId="0" fillId="0" borderId="104" xfId="0" applyNumberFormat="1" applyBorder="1" applyAlignment="1">
      <alignment horizontal="center" vertical="center"/>
    </xf>
    <xf numFmtId="0" fontId="0" fillId="0" borderId="105" xfId="0" applyBorder="1" applyAlignment="1">
      <alignment horizontal="left" vertical="center"/>
    </xf>
    <xf numFmtId="3" fontId="0" fillId="0" borderId="105" xfId="0" applyNumberFormat="1" applyBorder="1" applyAlignment="1">
      <alignment horizontal="center" vertical="center"/>
    </xf>
    <xf numFmtId="0" fontId="14" fillId="12" borderId="106" xfId="0" applyFont="1" applyFill="1" applyBorder="1" applyAlignment="1">
      <alignment horizontal="left" vertical="center"/>
    </xf>
    <xf numFmtId="3" fontId="14" fillId="12" borderId="106" xfId="0" applyNumberFormat="1" applyFont="1" applyFill="1" applyBorder="1" applyAlignment="1">
      <alignment horizontal="center" vertical="center"/>
    </xf>
    <xf numFmtId="0" fontId="14" fillId="12" borderId="104" xfId="0" applyFont="1" applyFill="1" applyBorder="1" applyAlignment="1">
      <alignment horizontal="left" vertical="center"/>
    </xf>
    <xf numFmtId="3" fontId="14" fillId="12" borderId="104" xfId="0" applyNumberFormat="1" applyFont="1" applyFill="1" applyBorder="1" applyAlignment="1">
      <alignment horizontal="center" vertical="center"/>
    </xf>
    <xf numFmtId="0" fontId="14" fillId="12" borderId="105" xfId="0" applyFont="1" applyFill="1" applyBorder="1" applyAlignment="1">
      <alignment horizontal="left" vertical="center"/>
    </xf>
    <xf numFmtId="3" fontId="14" fillId="12" borderId="105" xfId="0" applyNumberFormat="1" applyFont="1" applyFill="1" applyBorder="1" applyAlignment="1">
      <alignment horizontal="center" vertical="center"/>
    </xf>
    <xf numFmtId="0" fontId="36" fillId="12" borderId="0" xfId="3" applyFont="1" applyFill="1" applyAlignment="1">
      <alignment horizontal="centerContinuous" vertical="center"/>
    </xf>
    <xf numFmtId="0" fontId="9" fillId="12" borderId="0" xfId="3" applyFill="1" applyAlignment="1">
      <alignment horizontal="centerContinuous" vertical="center"/>
    </xf>
    <xf numFmtId="49" fontId="13" fillId="0" borderId="22" xfId="0" applyNumberFormat="1" applyFont="1" applyBorder="1" applyAlignment="1">
      <alignment horizontal="center" vertical="center"/>
    </xf>
    <xf numFmtId="49" fontId="10" fillId="0" borderId="22" xfId="0" applyNumberFormat="1" applyFont="1" applyBorder="1" applyAlignment="1">
      <alignment horizontal="center" vertical="center"/>
    </xf>
    <xf numFmtId="0" fontId="14" fillId="11" borderId="99" xfId="0" applyFont="1" applyFill="1" applyBorder="1" applyAlignment="1">
      <alignment horizontal="center" vertical="center" wrapText="1"/>
    </xf>
    <xf numFmtId="0" fontId="14" fillId="11" borderId="100" xfId="0" applyFont="1" applyFill="1" applyBorder="1" applyAlignment="1">
      <alignment horizontal="center" vertical="center" wrapText="1"/>
    </xf>
    <xf numFmtId="0" fontId="14" fillId="3" borderId="99" xfId="0" applyFont="1" applyFill="1" applyBorder="1" applyAlignment="1">
      <alignment horizontal="center" vertical="center" wrapText="1"/>
    </xf>
    <xf numFmtId="0" fontId="14" fillId="3" borderId="100" xfId="0" applyFont="1" applyFill="1" applyBorder="1" applyAlignment="1">
      <alignment horizontal="center" vertical="center" wrapText="1"/>
    </xf>
    <xf numFmtId="0" fontId="14" fillId="11" borderId="101" xfId="0" applyFont="1" applyFill="1" applyBorder="1" applyAlignment="1">
      <alignment horizontal="center" vertical="center" wrapText="1"/>
    </xf>
    <xf numFmtId="0" fontId="14" fillId="4" borderId="17" xfId="0" applyFont="1" applyFill="1" applyBorder="1" applyAlignment="1">
      <alignment horizontal="center" vertical="center"/>
    </xf>
    <xf numFmtId="0" fontId="0" fillId="5" borderId="17" xfId="0" applyFill="1" applyBorder="1" applyAlignment="1">
      <alignment horizontal="center" vertical="center"/>
    </xf>
    <xf numFmtId="0" fontId="0" fillId="0" borderId="17" xfId="0" applyNumberFormat="1" applyBorder="1" applyAlignment="1">
      <alignment horizontal="center" vertical="center"/>
    </xf>
    <xf numFmtId="0" fontId="0" fillId="6" borderId="107" xfId="0" applyFill="1" applyBorder="1" applyAlignment="1">
      <alignment horizontal="center" vertical="center"/>
    </xf>
    <xf numFmtId="49" fontId="0" fillId="0" borderId="107" xfId="0" applyNumberFormat="1" applyBorder="1" applyAlignment="1">
      <alignment horizontal="center" vertical="center"/>
    </xf>
    <xf numFmtId="49" fontId="10" fillId="0" borderId="108" xfId="0" applyNumberFormat="1" applyFont="1" applyBorder="1" applyAlignment="1">
      <alignment horizontal="center" vertical="center"/>
    </xf>
    <xf numFmtId="49" fontId="0" fillId="0" borderId="108" xfId="0" applyNumberFormat="1" applyBorder="1" applyAlignment="1">
      <alignment horizontal="center" vertical="center"/>
    </xf>
    <xf numFmtId="49" fontId="0" fillId="0" borderId="46" xfId="0" applyNumberFormat="1" applyBorder="1" applyAlignment="1">
      <alignment horizontal="center" vertical="center"/>
    </xf>
    <xf numFmtId="0" fontId="14" fillId="4" borderId="4" xfId="0" applyFont="1" applyFill="1" applyBorder="1" applyAlignment="1">
      <alignment horizontal="center" vertical="center"/>
    </xf>
    <xf numFmtId="0" fontId="0" fillId="5" borderId="4" xfId="0" applyFill="1" applyBorder="1" applyAlignment="1">
      <alignment horizontal="center" vertical="center"/>
    </xf>
    <xf numFmtId="0" fontId="0" fillId="0" borderId="4" xfId="0" applyNumberFormat="1" applyBorder="1" applyAlignment="1">
      <alignment horizontal="center" vertical="center"/>
    </xf>
    <xf numFmtId="0" fontId="0" fillId="6" borderId="37" xfId="0" applyFill="1" applyBorder="1" applyAlignment="1">
      <alignment horizontal="center" vertical="center"/>
    </xf>
    <xf numFmtId="49" fontId="0" fillId="0" borderId="37" xfId="0" applyNumberFormat="1" applyBorder="1" applyAlignment="1">
      <alignment horizontal="center" vertical="center"/>
    </xf>
    <xf numFmtId="49" fontId="10" fillId="0" borderId="109" xfId="0" applyNumberFormat="1" applyFont="1" applyBorder="1" applyAlignment="1">
      <alignment horizontal="center" vertical="center"/>
    </xf>
    <xf numFmtId="49" fontId="0" fillId="0" borderId="109" xfId="0" applyNumberFormat="1" applyBorder="1" applyAlignment="1">
      <alignment horizontal="center" vertical="center"/>
    </xf>
    <xf numFmtId="49" fontId="0" fillId="0" borderId="47" xfId="0" applyNumberFormat="1" applyBorder="1" applyAlignment="1">
      <alignment horizontal="center" vertical="center"/>
    </xf>
    <xf numFmtId="0" fontId="10" fillId="0" borderId="0" xfId="0" applyFont="1" applyFill="1" applyBorder="1" applyAlignment="1">
      <alignment vertical="center"/>
    </xf>
    <xf numFmtId="49" fontId="0" fillId="0" borderId="7" xfId="0" applyNumberFormat="1" applyFill="1" applyBorder="1" applyAlignment="1">
      <alignment horizontal="center" vertical="center"/>
    </xf>
    <xf numFmtId="49" fontId="10" fillId="0" borderId="23" xfId="0" applyNumberFormat="1" applyFont="1" applyBorder="1" applyAlignment="1">
      <alignment horizontal="center" vertical="center"/>
    </xf>
    <xf numFmtId="49" fontId="0" fillId="0" borderId="1" xfId="0" applyNumberFormat="1" applyBorder="1" applyAlignment="1">
      <alignment horizontal="center" vertical="center"/>
    </xf>
    <xf numFmtId="0" fontId="0" fillId="4" borderId="110" xfId="0" applyFill="1" applyBorder="1" applyAlignment="1">
      <alignment horizontal="centerContinuous" vertical="center"/>
    </xf>
    <xf numFmtId="0" fontId="0" fillId="6" borderId="31" xfId="0" applyFill="1" applyBorder="1" applyAlignment="1">
      <alignment horizontal="center" vertical="center"/>
    </xf>
    <xf numFmtId="0" fontId="0" fillId="5" borderId="31" xfId="0" applyFill="1" applyBorder="1" applyAlignment="1">
      <alignment horizontal="center" vertical="center"/>
    </xf>
    <xf numFmtId="0" fontId="0" fillId="6" borderId="39" xfId="0" applyFill="1" applyBorder="1" applyAlignment="1">
      <alignment horizontal="center" vertical="center"/>
    </xf>
    <xf numFmtId="0" fontId="0" fillId="6" borderId="111" xfId="0" applyFill="1" applyBorder="1" applyAlignment="1">
      <alignment horizontal="center" vertical="center"/>
    </xf>
    <xf numFmtId="0" fontId="10" fillId="0" borderId="0" xfId="0" applyFont="1" applyAlignment="1">
      <alignment horizontal="left" vertical="center" indent="1"/>
    </xf>
    <xf numFmtId="0" fontId="0" fillId="0" borderId="1" xfId="0" applyFill="1" applyBorder="1" applyAlignment="1">
      <alignment horizontal="center" vertical="center"/>
    </xf>
    <xf numFmtId="0" fontId="0" fillId="0" borderId="17" xfId="0" applyFill="1" applyBorder="1" applyAlignment="1">
      <alignment horizontal="center" vertical="center"/>
    </xf>
    <xf numFmtId="0" fontId="0" fillId="0" borderId="4" xfId="0" applyFill="1" applyBorder="1" applyAlignment="1">
      <alignment horizontal="center" vertical="center"/>
    </xf>
    <xf numFmtId="0" fontId="10" fillId="14" borderId="16" xfId="0" applyFont="1" applyFill="1" applyBorder="1" applyAlignment="1">
      <alignment horizontal="center" vertical="center"/>
    </xf>
    <xf numFmtId="49" fontId="10" fillId="4" borderId="48" xfId="1" applyNumberFormat="1" applyFont="1" applyFill="1" applyBorder="1" applyAlignment="1">
      <alignment horizontal="centerContinuous" vertical="center"/>
    </xf>
    <xf numFmtId="0" fontId="5" fillId="0" borderId="0" xfId="3" applyFont="1" applyAlignment="1">
      <alignment vertical="center"/>
    </xf>
    <xf numFmtId="0" fontId="10" fillId="0" borderId="0" xfId="0" applyFont="1"/>
    <xf numFmtId="0" fontId="4" fillId="0" borderId="0" xfId="3" applyFont="1" applyAlignment="1">
      <alignment vertical="center"/>
    </xf>
    <xf numFmtId="0" fontId="3" fillId="0" borderId="0" xfId="3" applyFont="1" applyAlignment="1">
      <alignment vertical="center"/>
    </xf>
    <xf numFmtId="3" fontId="13" fillId="0" borderId="61" xfId="1" applyNumberFormat="1" applyFill="1" applyBorder="1" applyAlignment="1">
      <alignment vertical="center"/>
    </xf>
    <xf numFmtId="3" fontId="13" fillId="0" borderId="67" xfId="1" applyNumberFormat="1" applyFill="1" applyBorder="1" applyAlignment="1">
      <alignment vertical="center"/>
    </xf>
    <xf numFmtId="3" fontId="13" fillId="0" borderId="64" xfId="1" applyNumberFormat="1" applyFill="1" applyBorder="1" applyAlignment="1">
      <alignment vertical="center"/>
    </xf>
    <xf numFmtId="3" fontId="13" fillId="0" borderId="71" xfId="1" applyNumberFormat="1" applyFill="1" applyBorder="1" applyAlignment="1">
      <alignment vertical="center"/>
    </xf>
    <xf numFmtId="3" fontId="13" fillId="0" borderId="57" xfId="1" applyNumberFormat="1" applyFill="1" applyBorder="1" applyAlignment="1">
      <alignment vertical="center"/>
    </xf>
    <xf numFmtId="0" fontId="37" fillId="0" borderId="0" xfId="5" applyAlignment="1">
      <alignment horizontal="centerContinuous" vertical="top"/>
    </xf>
    <xf numFmtId="0" fontId="37" fillId="0" borderId="0" xfId="5" applyAlignment="1">
      <alignment vertical="top"/>
    </xf>
    <xf numFmtId="0" fontId="39" fillId="12" borderId="112" xfId="5" applyFont="1" applyFill="1" applyBorder="1" applyAlignment="1">
      <alignment horizontal="centerContinuous" vertical="center" wrapText="1"/>
    </xf>
    <xf numFmtId="0" fontId="37" fillId="0" borderId="0" xfId="5"/>
    <xf numFmtId="0" fontId="0" fillId="0" borderId="17" xfId="0" pivotButton="1" applyBorder="1" applyAlignment="1">
      <alignment vertical="center"/>
    </xf>
    <xf numFmtId="0" fontId="0" fillId="0" borderId="113" xfId="0" applyBorder="1" applyAlignment="1">
      <alignment horizontal="left" vertical="center"/>
    </xf>
    <xf numFmtId="3" fontId="0" fillId="0" borderId="113" xfId="0" applyNumberFormat="1" applyBorder="1" applyAlignment="1">
      <alignment horizontal="center" vertical="center"/>
    </xf>
    <xf numFmtId="0" fontId="0" fillId="0" borderId="114" xfId="0" applyBorder="1" applyAlignment="1">
      <alignment horizontal="left" vertical="center"/>
    </xf>
    <xf numFmtId="3" fontId="0" fillId="0" borderId="114" xfId="0" applyNumberFormat="1" applyBorder="1" applyAlignment="1">
      <alignment horizontal="center" vertical="center"/>
    </xf>
    <xf numFmtId="49" fontId="23" fillId="11" borderId="0" xfId="5" applyNumberFormat="1" applyFont="1" applyFill="1" applyAlignment="1">
      <alignment vertical="center"/>
    </xf>
    <xf numFmtId="0" fontId="37" fillId="11" borderId="0" xfId="5" applyFill="1" applyAlignment="1">
      <alignment vertical="center"/>
    </xf>
    <xf numFmtId="0" fontId="23" fillId="11" borderId="0" xfId="5" applyFont="1" applyFill="1" applyAlignment="1">
      <alignment horizontal="center" vertical="center"/>
    </xf>
    <xf numFmtId="0" fontId="37" fillId="12" borderId="80" xfId="5" applyFont="1" applyFill="1" applyBorder="1" applyAlignment="1">
      <alignment horizontal="center" vertical="center" wrapText="1"/>
    </xf>
    <xf numFmtId="0" fontId="37" fillId="12" borderId="81" xfId="5" applyFont="1" applyFill="1" applyBorder="1" applyAlignment="1">
      <alignment horizontal="center" vertical="center" wrapText="1"/>
    </xf>
    <xf numFmtId="165" fontId="41" fillId="0" borderId="86" xfId="7" applyNumberFormat="1" applyFont="1" applyBorder="1" applyAlignment="1">
      <alignment horizontal="center" vertical="center"/>
    </xf>
    <xf numFmtId="165" fontId="41" fillId="0" borderId="86" xfId="6" applyNumberFormat="1" applyFont="1" applyBorder="1" applyAlignment="1">
      <alignment horizontal="center" vertical="center"/>
    </xf>
    <xf numFmtId="165" fontId="41" fillId="0" borderId="87" xfId="7" applyNumberFormat="1" applyFont="1" applyBorder="1" applyAlignment="1">
      <alignment horizontal="center" vertical="center"/>
    </xf>
    <xf numFmtId="165" fontId="41" fillId="0" borderId="87" xfId="6" applyNumberFormat="1" applyFont="1" applyBorder="1" applyAlignment="1">
      <alignment horizontal="center" vertical="center"/>
    </xf>
    <xf numFmtId="165" fontId="41" fillId="0" borderId="88" xfId="6" applyNumberFormat="1" applyFont="1" applyBorder="1" applyAlignment="1">
      <alignment horizontal="center" vertical="center"/>
    </xf>
    <xf numFmtId="165" fontId="0" fillId="0" borderId="0" xfId="7" applyNumberFormat="1" applyFont="1" applyAlignment="1">
      <alignment horizontal="center" vertical="center"/>
    </xf>
    <xf numFmtId="165" fontId="43" fillId="0" borderId="88" xfId="5" applyNumberFormat="1" applyFont="1" applyBorder="1" applyAlignment="1">
      <alignment horizontal="centerContinuous" vertical="center"/>
    </xf>
    <xf numFmtId="0" fontId="54" fillId="0" borderId="0" xfId="12" applyFont="1" applyAlignment="1">
      <alignment horizontal="centerContinuous" vertical="center"/>
    </xf>
    <xf numFmtId="0" fontId="10" fillId="0" borderId="0" xfId="12" applyAlignment="1">
      <alignment horizontal="centerContinuous" vertical="center"/>
    </xf>
    <xf numFmtId="0" fontId="10" fillId="0" borderId="0" xfId="12" applyAlignment="1">
      <alignment vertical="center"/>
    </xf>
    <xf numFmtId="0" fontId="14" fillId="0" borderId="0" xfId="13" applyFont="1" applyAlignment="1">
      <alignment horizontal="centerContinuous" vertical="center" wrapText="1"/>
    </xf>
    <xf numFmtId="0" fontId="10" fillId="0" borderId="0" xfId="12" applyAlignment="1">
      <alignment horizontal="centerContinuous" vertical="center" wrapText="1"/>
    </xf>
    <xf numFmtId="0" fontId="10" fillId="0" borderId="0" xfId="12" applyAlignment="1">
      <alignment horizontal="center" vertical="center"/>
    </xf>
    <xf numFmtId="0" fontId="10" fillId="0" borderId="1" xfId="0" applyFont="1" applyBorder="1" applyAlignment="1">
      <alignment horizontal="center" vertical="center" wrapText="1"/>
    </xf>
    <xf numFmtId="0" fontId="37" fillId="0" borderId="0" xfId="5" applyFont="1" applyAlignment="1">
      <alignment vertical="center"/>
    </xf>
    <xf numFmtId="0" fontId="0" fillId="0" borderId="10" xfId="0" applyBorder="1" applyAlignment="1">
      <alignment horizontal="center" vertical="center" wrapText="1"/>
    </xf>
    <xf numFmtId="0" fontId="14" fillId="14" borderId="6" xfId="0" applyFont="1" applyFill="1" applyBorder="1" applyAlignment="1" applyProtection="1">
      <alignment horizontal="center" vertical="center" wrapText="1"/>
    </xf>
    <xf numFmtId="0" fontId="14" fillId="14" borderId="3" xfId="0" applyFont="1" applyFill="1" applyBorder="1" applyAlignment="1" applyProtection="1">
      <alignment horizontal="center" vertical="center" wrapText="1"/>
    </xf>
    <xf numFmtId="0" fontId="14" fillId="14" borderId="27" xfId="0" applyFont="1" applyFill="1" applyBorder="1" applyAlignment="1" applyProtection="1">
      <alignment horizontal="center" vertical="center" wrapText="1"/>
    </xf>
    <xf numFmtId="0" fontId="28" fillId="11" borderId="25" xfId="0" applyFont="1" applyFill="1" applyBorder="1" applyAlignment="1">
      <alignment horizontal="centerContinuous" vertical="center"/>
    </xf>
    <xf numFmtId="0" fontId="28" fillId="11" borderId="26" xfId="0" applyFont="1" applyFill="1" applyBorder="1" applyAlignment="1">
      <alignment horizontal="centerContinuous" vertical="center"/>
    </xf>
    <xf numFmtId="0" fontId="47" fillId="14" borderId="24" xfId="0" applyFont="1" applyFill="1" applyBorder="1" applyAlignment="1">
      <alignment horizontal="centerContinuous" vertical="center" wrapText="1"/>
    </xf>
    <xf numFmtId="0" fontId="28" fillId="14" borderId="25" xfId="0" applyFont="1" applyFill="1" applyBorder="1" applyAlignment="1">
      <alignment horizontal="centerContinuous" vertical="center"/>
    </xf>
    <xf numFmtId="0" fontId="28" fillId="14" borderId="26" xfId="0" applyFont="1" applyFill="1" applyBorder="1" applyAlignment="1">
      <alignment horizontal="centerContinuous" vertical="center"/>
    </xf>
    <xf numFmtId="0" fontId="47" fillId="3" borderId="24" xfId="0" applyFont="1" applyFill="1" applyBorder="1" applyAlignment="1">
      <alignment horizontal="centerContinuous" vertical="center" wrapText="1"/>
    </xf>
    <xf numFmtId="0" fontId="28" fillId="3" borderId="25" xfId="0" applyFont="1" applyFill="1" applyBorder="1" applyAlignment="1">
      <alignment horizontal="centerContinuous" vertical="center"/>
    </xf>
    <xf numFmtId="0" fontId="28" fillId="3" borderId="26" xfId="0" applyFont="1" applyFill="1" applyBorder="1" applyAlignment="1">
      <alignment horizontal="centerContinuous" vertical="center"/>
    </xf>
    <xf numFmtId="0" fontId="10" fillId="0" borderId="0" xfId="0" applyFont="1" applyAlignment="1">
      <alignment horizontal="centerContinuous" vertical="center"/>
    </xf>
    <xf numFmtId="0" fontId="58" fillId="11" borderId="0" xfId="5" applyFont="1" applyFill="1" applyAlignment="1">
      <alignment horizontal="center" vertical="center"/>
    </xf>
    <xf numFmtId="3" fontId="37" fillId="0" borderId="0" xfId="5" applyNumberFormat="1" applyAlignment="1">
      <alignment horizontal="centerContinuous" vertical="top"/>
    </xf>
    <xf numFmtId="166" fontId="37" fillId="0" borderId="0" xfId="5" applyNumberFormat="1" applyAlignment="1">
      <alignment vertical="center"/>
    </xf>
    <xf numFmtId="3" fontId="37" fillId="0" borderId="0" xfId="5" applyNumberFormat="1" applyAlignment="1">
      <alignment vertical="center"/>
    </xf>
    <xf numFmtId="0" fontId="54" fillId="0" borderId="0" xfId="13" applyFont="1" applyAlignment="1">
      <alignment horizontal="centerContinuous" vertical="center"/>
    </xf>
    <xf numFmtId="0" fontId="10" fillId="0" borderId="0" xfId="13" applyAlignment="1">
      <alignment horizontal="centerContinuous" vertical="center"/>
    </xf>
    <xf numFmtId="0" fontId="10" fillId="0" borderId="0" xfId="13" applyAlignment="1">
      <alignment vertical="center"/>
    </xf>
    <xf numFmtId="0" fontId="10" fillId="0" borderId="0" xfId="13" applyAlignment="1">
      <alignment horizontal="centerContinuous" vertical="center" wrapText="1"/>
    </xf>
    <xf numFmtId="0" fontId="10" fillId="0" borderId="0" xfId="13" applyAlignment="1">
      <alignment horizontal="center" vertical="center"/>
    </xf>
    <xf numFmtId="167" fontId="28" fillId="12" borderId="82" xfId="6" applyNumberFormat="1" applyFont="1" applyFill="1" applyBorder="1" applyAlignment="1">
      <alignment horizontal="center" vertical="center" wrapText="1"/>
    </xf>
    <xf numFmtId="167" fontId="28" fillId="12" borderId="83" xfId="6" applyNumberFormat="1" applyFont="1" applyFill="1" applyBorder="1" applyAlignment="1">
      <alignment horizontal="center" vertical="center" wrapText="1"/>
    </xf>
    <xf numFmtId="167" fontId="28" fillId="12" borderId="84" xfId="6" applyNumberFormat="1" applyFont="1" applyFill="1" applyBorder="1" applyAlignment="1">
      <alignment horizontal="center" vertical="center" wrapText="1"/>
    </xf>
    <xf numFmtId="167" fontId="28" fillId="12" borderId="85" xfId="6" applyNumberFormat="1" applyFont="1" applyFill="1" applyBorder="1" applyAlignment="1">
      <alignment horizontal="center" vertical="center" wrapText="1"/>
    </xf>
    <xf numFmtId="0" fontId="2" fillId="0" borderId="0" xfId="3" applyFont="1" applyAlignment="1">
      <alignment vertical="center"/>
    </xf>
    <xf numFmtId="0" fontId="16" fillId="0" borderId="18"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164" fontId="16" fillId="0" borderId="18" xfId="0" applyNumberFormat="1" applyFont="1" applyBorder="1" applyAlignment="1" applyProtection="1">
      <alignment horizontal="center" vertical="center" wrapText="1"/>
      <protection locked="0"/>
    </xf>
    <xf numFmtId="164" fontId="16" fillId="0" borderId="19" xfId="0" applyNumberFormat="1" applyFont="1" applyBorder="1" applyAlignment="1" applyProtection="1">
      <alignment horizontal="center" vertical="center" wrapText="1"/>
      <protection locked="0"/>
    </xf>
    <xf numFmtId="164" fontId="16" fillId="0" borderId="20" xfId="0" applyNumberFormat="1" applyFont="1" applyBorder="1" applyAlignment="1" applyProtection="1">
      <alignment horizontal="center" vertical="center" wrapText="1"/>
      <protection locked="0"/>
    </xf>
    <xf numFmtId="1" fontId="21" fillId="2" borderId="18" xfId="0" applyNumberFormat="1" applyFont="1" applyFill="1" applyBorder="1" applyAlignment="1" applyProtection="1">
      <alignment horizontal="center" vertical="center"/>
      <protection locked="0"/>
    </xf>
    <xf numFmtId="1" fontId="21" fillId="2" borderId="19" xfId="0" applyNumberFormat="1" applyFont="1" applyFill="1" applyBorder="1" applyAlignment="1" applyProtection="1">
      <alignment horizontal="center" vertical="center"/>
      <protection locked="0"/>
    </xf>
    <xf numFmtId="1" fontId="21" fillId="2" borderId="20" xfId="0" applyNumberFormat="1" applyFont="1" applyFill="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49" fontId="16" fillId="0" borderId="19" xfId="0" applyNumberFormat="1" applyFont="1" applyBorder="1" applyAlignment="1" applyProtection="1">
      <alignment horizontal="center" vertical="center"/>
      <protection locked="0"/>
    </xf>
    <xf numFmtId="49" fontId="16" fillId="0" borderId="20" xfId="0" applyNumberFormat="1" applyFont="1" applyBorder="1" applyAlignment="1" applyProtection="1">
      <alignment horizontal="center" vertical="center"/>
      <protection locked="0"/>
    </xf>
    <xf numFmtId="0" fontId="28" fillId="0" borderId="0" xfId="0" applyFont="1" applyAlignment="1">
      <alignment horizontal="justify" vertical="top" wrapText="1"/>
    </xf>
    <xf numFmtId="0" fontId="14" fillId="0" borderId="0" xfId="0" applyFont="1" applyAlignment="1">
      <alignment horizontal="center" vertical="center" wrapText="1"/>
    </xf>
    <xf numFmtId="0" fontId="37" fillId="0" borderId="0" xfId="5" applyFont="1" applyAlignment="1">
      <alignment vertical="center" wrapText="1"/>
    </xf>
    <xf numFmtId="0" fontId="57" fillId="0" borderId="0" xfId="0" applyFont="1" applyAlignment="1">
      <alignment vertical="center" wrapText="1"/>
    </xf>
    <xf numFmtId="0" fontId="37" fillId="0" borderId="0" xfId="5" applyAlignment="1">
      <alignment vertical="center" wrapText="1"/>
    </xf>
    <xf numFmtId="0" fontId="57" fillId="0" borderId="0" xfId="5" applyFont="1" applyAlignment="1">
      <alignment vertical="center" wrapText="1"/>
    </xf>
    <xf numFmtId="0" fontId="1" fillId="0" borderId="0" xfId="3" applyFont="1" applyAlignment="1">
      <alignment vertical="center"/>
    </xf>
    <xf numFmtId="0" fontId="0" fillId="0" borderId="115" xfId="0" applyBorder="1" applyAlignment="1">
      <alignment horizontal="left" vertical="center"/>
    </xf>
    <xf numFmtId="0" fontId="0" fillId="0" borderId="116" xfId="0" applyBorder="1" applyAlignment="1">
      <alignment horizontal="left" vertical="center"/>
    </xf>
    <xf numFmtId="0" fontId="0" fillId="0" borderId="117" xfId="0" applyBorder="1" applyAlignment="1">
      <alignment horizontal="left" vertical="center"/>
    </xf>
    <xf numFmtId="0" fontId="47" fillId="0" borderId="0" xfId="13" applyFont="1" applyAlignment="1">
      <alignment horizontal="centerContinuous" vertical="center" wrapText="1"/>
    </xf>
    <xf numFmtId="0" fontId="10" fillId="0" borderId="10" xfId="0" applyFont="1" applyBorder="1" applyAlignment="1">
      <alignment horizontal="center" vertical="center" wrapText="1"/>
    </xf>
    <xf numFmtId="0" fontId="28" fillId="12" borderId="0" xfId="0" applyFont="1" applyFill="1" applyAlignment="1">
      <alignment horizontal="left" vertical="center"/>
    </xf>
    <xf numFmtId="3" fontId="28" fillId="12" borderId="0" xfId="0" applyNumberFormat="1" applyFont="1" applyFill="1" applyAlignment="1">
      <alignment horizontal="center" vertical="center"/>
    </xf>
    <xf numFmtId="0" fontId="28" fillId="0" borderId="113" xfId="0" applyFont="1" applyBorder="1" applyAlignment="1">
      <alignment horizontal="left" vertical="center"/>
    </xf>
    <xf numFmtId="3" fontId="28" fillId="0" borderId="113" xfId="0" applyNumberFormat="1" applyFont="1" applyBorder="1" applyAlignment="1">
      <alignment horizontal="center" vertical="center"/>
    </xf>
    <xf numFmtId="0" fontId="28" fillId="0" borderId="114" xfId="0" applyFont="1" applyBorder="1" applyAlignment="1">
      <alignment horizontal="left" vertical="center"/>
    </xf>
    <xf numFmtId="3" fontId="28" fillId="0" borderId="114" xfId="0" applyNumberFormat="1" applyFont="1" applyBorder="1" applyAlignment="1">
      <alignment horizontal="center" vertical="center"/>
    </xf>
    <xf numFmtId="0" fontId="28" fillId="0" borderId="0" xfId="0" applyFont="1" applyAlignment="1">
      <alignment horizontal="left" vertical="center"/>
    </xf>
    <xf numFmtId="3" fontId="28" fillId="0" borderId="0" xfId="0" applyNumberFormat="1" applyFont="1" applyAlignment="1">
      <alignment horizontal="center" vertical="center"/>
    </xf>
    <xf numFmtId="3" fontId="28" fillId="0" borderId="115" xfId="0" applyNumberFormat="1" applyFont="1" applyBorder="1" applyAlignment="1">
      <alignment horizontal="center" vertical="center"/>
    </xf>
    <xf numFmtId="3" fontId="28" fillId="0" borderId="116" xfId="0" applyNumberFormat="1" applyFont="1" applyBorder="1" applyAlignment="1">
      <alignment horizontal="center" vertical="center"/>
    </xf>
    <xf numFmtId="3" fontId="28" fillId="0" borderId="117" xfId="0" applyNumberFormat="1" applyFont="1" applyBorder="1" applyAlignment="1">
      <alignment horizontal="center" vertical="center"/>
    </xf>
  </cellXfs>
  <cellStyles count="16">
    <cellStyle name="Comma 2" xfId="6"/>
    <cellStyle name="Normal" xfId="0" builtinId="0"/>
    <cellStyle name="Normal 2" xfId="1"/>
    <cellStyle name="Normal 2 2" xfId="14"/>
    <cellStyle name="Normal 3" xfId="3"/>
    <cellStyle name="Normal 4" xfId="5"/>
    <cellStyle name="Normal 5" xfId="8"/>
    <cellStyle name="Normal 6" xfId="9"/>
    <cellStyle name="Normal 6 2" xfId="15"/>
    <cellStyle name="Normal 7" xfId="10"/>
    <cellStyle name="Normal 7 2" xfId="11"/>
    <cellStyle name="Normal 7 2 2" xfId="13"/>
    <cellStyle name="Normal 7 3" xfId="12"/>
    <cellStyle name="Percent" xfId="2" builtinId="5"/>
    <cellStyle name="Percent 2" xfId="4"/>
    <cellStyle name="Percent 3" xfId="7"/>
  </cellStyles>
  <dxfs count="70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14996795556505021"/>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border>
        <bottom style="thin">
          <color theme="8" tint="0.39994506668294322"/>
        </bottom>
        <horizontal style="thin">
          <color theme="8" tint="0.39994506668294322"/>
        </horizontal>
      </border>
    </dxf>
    <dxf>
      <alignment wrapText="1" readingOrder="0"/>
    </dxf>
    <dxf>
      <alignment vertical="center" indent="0" readingOrder="0"/>
    </dxf>
    <dxf>
      <alignment horizontal="center" readingOrder="0"/>
    </dxf>
    <dxf>
      <alignment horizontal="center" readingOrder="0"/>
    </dxf>
    <dxf>
      <numFmt numFmtId="3" formatCode="#,##0"/>
    </dxf>
    <dxf>
      <numFmt numFmtId="3" formatCode="#,##0"/>
    </dxf>
    <dxf>
      <alignment wrapText="1"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font>
        <sz val="10"/>
      </font>
    </dxf>
    <dxf>
      <fill>
        <patternFill patternType="solid">
          <bgColor theme="8" tint="0.79998168889431442"/>
        </patternFill>
      </fill>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ont>
        <sz val="10"/>
      </font>
    </dxf>
    <dxf>
      <alignment wrapText="1" readingOrder="0"/>
    </dxf>
    <dxf>
      <alignment horizontal="center" readingOrder="0"/>
    </dxf>
    <dxf>
      <numFmt numFmtId="3" formatCode="#,##0"/>
    </dxf>
    <dxf>
      <border>
        <top style="thin">
          <color indexed="64"/>
        </top>
        <bottom style="thin">
          <color indexed="64"/>
        </bottom>
      </border>
    </dxf>
    <dxf>
      <border>
        <horizontal style="thin">
          <color theme="8" tint="0.39991454817346722"/>
        </horizontal>
      </border>
    </dxf>
    <dxf>
      <border>
        <horizontal style="thin">
          <color theme="8" tint="0.39991454817346722"/>
        </horizontal>
      </border>
    </dxf>
    <dxf>
      <font>
        <sz val="11"/>
      </font>
    </dxf>
    <dxf>
      <font>
        <sz val="11"/>
      </font>
    </dxf>
    <dxf>
      <font>
        <sz val="11"/>
      </font>
    </dxf>
    <dxf>
      <font>
        <sz val="11"/>
      </font>
    </dxf>
    <dxf>
      <font>
        <sz val="11"/>
      </font>
    </dxf>
    <dxf>
      <alignment horizontal="center" readingOrder="0"/>
    </dxf>
    <dxf>
      <alignment wrapText="1" readingOrder="0"/>
    </dxf>
    <dxf>
      <border>
        <top style="thin">
          <color indexed="64"/>
        </top>
        <bottom style="thin">
          <color indexed="64"/>
        </bottom>
      </border>
    </dxf>
    <dxf>
      <numFmt numFmtId="3" formatCode="#,##0"/>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numFmt numFmtId="3" formatCode="#,##0"/>
    </dxf>
    <dxf>
      <alignment horizontal="center" readingOrder="0"/>
    </dxf>
    <dxf>
      <alignment horizontal="center" readingOrder="0"/>
    </dxf>
    <dxf>
      <alignment vertical="center" indent="0" readingOrder="0"/>
    </dxf>
    <dxf>
      <alignment wrapText="1" readingOrder="0"/>
    </dxf>
  </dxfs>
  <tableStyles count="1" defaultTableStyle="TableStyleMedium9" defaultPivotStyle="PivotTable Style 1">
    <tableStyle name="PivotTable Style 1"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pivotCacheDefinition" Target="pivotCache/pivotCacheDefinition1.xml"/><Relationship Id="rId48"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295275</xdr:colOff>
      <xdr:row>17</xdr:row>
      <xdr:rowOff>95249</xdr:rowOff>
    </xdr:from>
    <xdr:to>
      <xdr:col>10</xdr:col>
      <xdr:colOff>876300</xdr:colOff>
      <xdr:row>57</xdr:row>
      <xdr:rowOff>76199</xdr:rowOff>
    </xdr:to>
    <xdr:sp macro="" textlink="">
      <xdr:nvSpPr>
        <xdr:cNvPr id="2" name="TextBox 1"/>
        <xdr:cNvSpPr txBox="1"/>
      </xdr:nvSpPr>
      <xdr:spPr>
        <a:xfrm>
          <a:off x="2124075" y="6496049"/>
          <a:ext cx="7162800" cy="64579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tx2"/>
              </a:solidFill>
            </a:rPr>
            <a:t>Use This Report Template For SFY2017 Quarterly Reports.  </a:t>
          </a:r>
        </a:p>
        <a:p>
          <a:pPr algn="ctr"/>
          <a:r>
            <a:rPr lang="en-US" sz="1200" b="1">
              <a:solidFill>
                <a:schemeClr val="tx2"/>
              </a:solidFill>
            </a:rPr>
            <a:t>It May</a:t>
          </a:r>
          <a:r>
            <a:rPr lang="en-US" sz="1200" b="1" baseline="0">
              <a:solidFill>
                <a:schemeClr val="tx2"/>
              </a:solidFill>
            </a:rPr>
            <a:t> Also Be Used For the SFY2016 </a:t>
          </a:r>
          <a:r>
            <a:rPr kumimoji="0" lang="en-US" sz="1200" b="1" i="0" u="none" strike="noStrike" kern="0" cap="none" spc="0" normalizeH="0" baseline="0" noProof="0">
              <a:ln>
                <a:noFill/>
              </a:ln>
              <a:solidFill>
                <a:srgbClr val="3333FF"/>
              </a:solidFill>
              <a:effectLst/>
              <a:uLnTx/>
              <a:uFillTx/>
              <a:latin typeface="+mn-lt"/>
              <a:ea typeface="+mn-ea"/>
              <a:cs typeface="+mn-cs"/>
            </a:rPr>
            <a:t>4th Quarter </a:t>
          </a:r>
          <a:r>
            <a:rPr lang="en-US" sz="1200" b="1" baseline="0">
              <a:solidFill>
                <a:schemeClr val="tx2"/>
              </a:solidFill>
            </a:rPr>
            <a:t>Report.</a:t>
          </a:r>
          <a:endParaRPr lang="en-US" sz="1200" b="1">
            <a:solidFill>
              <a:schemeClr val="tx2"/>
            </a:solidFill>
          </a:endParaRPr>
        </a:p>
        <a:p>
          <a:endParaRPr lang="en-US" sz="1100" b="1"/>
        </a:p>
        <a:p>
          <a:r>
            <a:rPr lang="en-US" sz="1100"/>
            <a:t>This</a:t>
          </a:r>
          <a:r>
            <a:rPr lang="en-US" sz="1100" baseline="0"/>
            <a:t> report template includes all DMH/DD/SAS measures in Part II of the Combined DMA and DMH/DD/SAS Performance Measures Guidelines.</a:t>
          </a:r>
        </a:p>
        <a:p>
          <a:endParaRPr lang="en-US" sz="1100" baseline="0"/>
        </a:p>
        <a:p>
          <a:r>
            <a:rPr lang="en-US" sz="1100" baseline="0"/>
            <a:t>Until LME-MCO shadow/encounter claims reporting issues are resolved and DMH/DD/SAS generated reports and LME-MCO self-reports produce consistent results, LME-MCOs are requested to </a:t>
          </a:r>
          <a:r>
            <a:rPr lang="en-US" sz="1100" b="1" baseline="0"/>
            <a:t>submit data each quarter for the measures listed in the "Report Schedule (2)" worksheet</a:t>
          </a:r>
          <a:r>
            <a:rPr lang="en-US" sz="1100" baseline="0"/>
            <a:t> towards the end of this workbook.</a:t>
          </a:r>
        </a:p>
        <a:p>
          <a:endParaRPr lang="en-US" sz="1100" baseline="0"/>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report template revises the prior report template (dated 10/7/15) as follows:</a:t>
          </a:r>
          <a:endParaRPr kumimoji="0" lang="en-US" sz="1100" b="0" i="0" u="none" strike="noStrike" kern="0" cap="none" spc="0" normalizeH="0" baseline="0" noProof="0">
            <a:ln>
              <a:noFill/>
            </a:ln>
            <a:solidFill>
              <a:schemeClr val="dk1"/>
            </a:solidFill>
            <a:effectLst/>
            <a:uLnTx/>
            <a:uFillTx/>
            <a:latin typeface="+mn-lt"/>
            <a:ea typeface="+mn-ea"/>
            <a:cs typeface="+mn-cs"/>
          </a:endParaRP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Updated the header language for Performance Measure 2.3 to reference both the "ISP/PCP".  Previously only the ISP was referenced.</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Revised the list of LME-MCOs in the drop-down list on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Removed ECBH and CoastalCare.</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Added two selections for Cardinal Innovations </a:t>
          </a:r>
        </a:p>
        <a:p>
          <a:pPr marL="1543050" marR="0" lvl="3"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prstClr val="black"/>
              </a:solidFill>
              <a:effectLst/>
              <a:uLnTx/>
              <a:uFillTx/>
              <a:latin typeface="+mn-lt"/>
              <a:ea typeface="+mn-ea"/>
              <a:cs typeface="+mn-cs"/>
            </a:rPr>
            <a:t>(&lt;7/1/16</a:t>
          </a:r>
          <a:r>
            <a:rPr kumimoji="0" lang="en-US" sz="1100" b="0" i="0" u="none" strike="noStrike" kern="0" cap="none" spc="0" normalizeH="0" baseline="0" noProof="0">
              <a:ln>
                <a:noFill/>
              </a:ln>
              <a:solidFill>
                <a:prstClr val="black"/>
              </a:solidFill>
              <a:effectLst/>
              <a:uLnTx/>
              <a:uFillTx/>
              <a:latin typeface="+mn-lt"/>
              <a:ea typeface="+mn-ea"/>
              <a:cs typeface="+mn-cs"/>
            </a:rPr>
            <a:t>) for reports covering measurement periods prior to its merger with CenterPoint) and </a:t>
          </a:r>
        </a:p>
        <a:p>
          <a:pPr marL="1543050" marR="0" lvl="3"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a:t>
          </a:r>
          <a:r>
            <a:rPr kumimoji="0" lang="en-US" sz="1100" b="1" i="0" u="none" strike="noStrike" kern="0" cap="none" spc="0" normalizeH="0" baseline="0" noProof="0">
              <a:ln>
                <a:noFill/>
              </a:ln>
              <a:solidFill>
                <a:prstClr val="black"/>
              </a:solidFill>
              <a:effectLst/>
              <a:uLnTx/>
              <a:uFillTx/>
              <a:latin typeface="+mn-lt"/>
              <a:ea typeface="+mn-ea"/>
              <a:cs typeface="+mn-cs"/>
            </a:rPr>
            <a:t>≥ 7/1/16</a:t>
          </a:r>
          <a:r>
            <a:rPr kumimoji="0" lang="en-US" sz="1100" b="0" i="0" u="none" strike="noStrike" kern="0" cap="none" spc="0" normalizeH="0" baseline="0" noProof="0">
              <a:ln>
                <a:noFill/>
              </a:ln>
              <a:solidFill>
                <a:prstClr val="black"/>
              </a:solidFill>
              <a:effectLst/>
              <a:uLnTx/>
              <a:uFillTx/>
              <a:latin typeface="+mn-lt"/>
              <a:ea typeface="+mn-ea"/>
              <a:cs typeface="+mn-cs"/>
            </a:rPr>
            <a:t>) for reports covering measurement periods after CenterPoint merged with it.  </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Includes CenterPoint (</a:t>
          </a:r>
          <a:r>
            <a:rPr kumimoji="0" lang="en-US" sz="1100" b="1" i="0" u="none" strike="noStrike" kern="0" cap="none" spc="0" normalizeH="0" baseline="0" noProof="0">
              <a:ln>
                <a:noFill/>
              </a:ln>
              <a:solidFill>
                <a:prstClr val="black"/>
              </a:solidFill>
              <a:effectLst/>
              <a:uLnTx/>
              <a:uFillTx/>
              <a:latin typeface="+mn-lt"/>
              <a:ea typeface="+mn-ea"/>
              <a:cs typeface="+mn-cs"/>
            </a:rPr>
            <a:t>&lt; 7/1/16</a:t>
          </a:r>
          <a:r>
            <a:rPr kumimoji="0" lang="en-US" sz="1100" b="0" i="0" u="none" strike="noStrike" kern="0" cap="none" spc="0" normalizeH="0" baseline="0" noProof="0">
              <a:ln>
                <a:noFill/>
              </a:ln>
              <a:solidFill>
                <a:prstClr val="black"/>
              </a:solidFill>
              <a:effectLst/>
              <a:uLnTx/>
              <a:uFillTx/>
              <a:latin typeface="+mn-lt"/>
              <a:ea typeface="+mn-ea"/>
              <a:cs typeface="+mn-cs"/>
            </a:rPr>
            <a:t>) for reports covering measurement periods prior to its merger with Cardinal Innovations (when it was a separate LME-MCO).</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Added Vaya Health for reports covering measurement periods after Smoky Mountain Center's name change.</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Note:  Due to claims lag, the </a:t>
          </a:r>
          <a:r>
            <a:rPr kumimoji="0" lang="en-US" sz="1100" b="1" i="0" u="none" strike="noStrike" kern="0" cap="none" spc="0" normalizeH="0" baseline="0" noProof="0">
              <a:ln>
                <a:noFill/>
              </a:ln>
              <a:solidFill>
                <a:prstClr val="black"/>
              </a:solidFill>
              <a:effectLst/>
              <a:uLnTx/>
              <a:uFillTx/>
              <a:latin typeface="+mn-lt"/>
              <a:ea typeface="+mn-ea"/>
              <a:cs typeface="+mn-cs"/>
            </a:rPr>
            <a:t>measurement period </a:t>
          </a:r>
          <a:r>
            <a:rPr kumimoji="0" lang="en-US" sz="1100" b="0" i="0" u="none" strike="noStrike" kern="0" cap="none" spc="0" normalizeH="0" baseline="0" noProof="0">
              <a:ln>
                <a:noFill/>
              </a:ln>
              <a:solidFill>
                <a:prstClr val="black"/>
              </a:solidFill>
              <a:effectLst/>
              <a:uLnTx/>
              <a:uFillTx/>
              <a:latin typeface="+mn-lt"/>
              <a:ea typeface="+mn-ea"/>
              <a:cs typeface="+mn-cs"/>
            </a:rPr>
            <a:t>covers the period one quarter prior to the </a:t>
          </a:r>
          <a:r>
            <a:rPr kumimoji="0" lang="en-US" sz="1100" b="1" i="0" u="none" strike="noStrike" kern="0" cap="none" spc="0" normalizeH="0" baseline="0" noProof="0">
              <a:ln>
                <a:noFill/>
              </a:ln>
              <a:solidFill>
                <a:prstClr val="black"/>
              </a:solidFill>
              <a:effectLst/>
              <a:uLnTx/>
              <a:uFillTx/>
              <a:latin typeface="+mn-lt"/>
              <a:ea typeface="+mn-ea"/>
              <a:cs typeface="+mn-cs"/>
            </a:rPr>
            <a:t>Report Quarter </a:t>
          </a:r>
          <a:r>
            <a:rPr kumimoji="0" lang="en-US" sz="1100" b="0" i="0" u="none" strike="noStrike" kern="0" cap="none" spc="0" normalizeH="0" baseline="0" noProof="0">
              <a:ln>
                <a:noFill/>
              </a:ln>
              <a:solidFill>
                <a:prstClr val="black"/>
              </a:solidFill>
              <a:effectLst/>
              <a:uLnTx/>
              <a:uFillTx/>
              <a:latin typeface="+mn-lt"/>
              <a:ea typeface="+mn-ea"/>
              <a:cs typeface="+mn-cs"/>
            </a:rPr>
            <a:t>shown on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a:t>
          </a:r>
          <a:r>
            <a:rPr kumimoji="0" lang="en-US" sz="1100" b="0" i="0" u="none" strike="noStrike" kern="0" cap="none" spc="0" normalizeH="0" baseline="0" noProof="0">
              <a:ln>
                <a:noFill/>
              </a:ln>
              <a:solidFill>
                <a:prstClr val="black"/>
              </a:solidFill>
              <a:effectLst/>
              <a:uLnTx/>
              <a:uFillTx/>
              <a:latin typeface="+mn-lt"/>
              <a:ea typeface="+mn-ea"/>
              <a:cs typeface="+mn-cs"/>
            </a:rPr>
            <a:t>.  For example, the SFY2017 1st Quarter Report covers events that occurred during the SFY2016 4th Quarter.  The SFY2017 2nd Quarter Report covers events that occurred during the SFY2017 1st Quarter, and so on.</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Performance measures that autopopulate county names and uninsured estimates use the LME-MCO name selected to determine which counties and data to enter.  </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Added two worksheets (Uninsured By County SFY2017 and Pivot Table- Uninsured SFY2017) with uninsured estimates for SFY2017.  </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Revised the lookup formulas for Performance Measure 3.2 to enter SFY2017 estimated uninsured numbers for SFY2017 reports and SFY2016 estimated uninsured numbers for SFY2016 reports.</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495300</xdr:colOff>
      <xdr:row>0</xdr:row>
      <xdr:rowOff>104775</xdr:rowOff>
    </xdr:from>
    <xdr:to>
      <xdr:col>14</xdr:col>
      <xdr:colOff>76199</xdr:colOff>
      <xdr:row>3</xdr:row>
      <xdr:rowOff>171451</xdr:rowOff>
    </xdr:to>
    <xdr:sp macro="" textlink="">
      <xdr:nvSpPr>
        <xdr:cNvPr id="2" name="TextBox 1"/>
        <xdr:cNvSpPr txBox="1"/>
      </xdr:nvSpPr>
      <xdr:spPr>
        <a:xfrm>
          <a:off x="12515850" y="104775"/>
          <a:ext cx="3238499" cy="71437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Indicator names and numbering follow the Combined DMA and DMH/DD/SAS Performance Measure Guidelines numbering system</a:t>
          </a:r>
          <a:r>
            <a:rPr lang="en-US" sz="1100" baseline="0"/>
            <a:t>.</a:t>
          </a:r>
          <a:endParaRPr lang="en-US" sz="1100"/>
        </a:p>
      </xdr:txBody>
    </xdr:sp>
    <xdr:clientData/>
  </xdr:twoCellAnchor>
  <xdr:twoCellAnchor>
    <xdr:from>
      <xdr:col>8</xdr:col>
      <xdr:colOff>495300</xdr:colOff>
      <xdr:row>3</xdr:row>
      <xdr:rowOff>219075</xdr:rowOff>
    </xdr:from>
    <xdr:to>
      <xdr:col>14</xdr:col>
      <xdr:colOff>76199</xdr:colOff>
      <xdr:row>8</xdr:row>
      <xdr:rowOff>161925</xdr:rowOff>
    </xdr:to>
    <xdr:sp macro="" textlink="">
      <xdr:nvSpPr>
        <xdr:cNvPr id="3" name="TextBox 2"/>
        <xdr:cNvSpPr txBox="1"/>
      </xdr:nvSpPr>
      <xdr:spPr>
        <a:xfrm>
          <a:off x="12515850" y="866775"/>
          <a:ext cx="3238499" cy="762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CAUTION:  DO NOT ALTER OR DELETE</a:t>
          </a:r>
          <a:r>
            <a:rPr lang="en-US" sz="1100"/>
            <a:t>. </a:t>
          </a:r>
        </a:p>
        <a:p>
          <a:r>
            <a:rPr lang="en-US" sz="1100"/>
            <a:t>The measurement periods for the individual performance measures worksheets are linked to the measurement</a:t>
          </a:r>
          <a:r>
            <a:rPr lang="en-US" sz="1100" baseline="0"/>
            <a:t> periods on this worksheet.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47621</xdr:colOff>
      <xdr:row>0</xdr:row>
      <xdr:rowOff>28575</xdr:rowOff>
    </xdr:from>
    <xdr:to>
      <xdr:col>10</xdr:col>
      <xdr:colOff>1162049</xdr:colOff>
      <xdr:row>3</xdr:row>
      <xdr:rowOff>219075</xdr:rowOff>
    </xdr:to>
    <xdr:sp macro="" textlink="">
      <xdr:nvSpPr>
        <xdr:cNvPr id="2" name="TextBox 1"/>
        <xdr:cNvSpPr txBox="1"/>
      </xdr:nvSpPr>
      <xdr:spPr>
        <a:xfrm>
          <a:off x="9010646" y="28575"/>
          <a:ext cx="3562353" cy="7905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t>Rows have been </a:t>
          </a:r>
          <a:r>
            <a:rPr lang="en-US" sz="1100" baseline="0"/>
            <a:t>hidden to display measures to be reported by LME-MCOs. </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Due dates to DMH/DD/SAS are shaded green.</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t>Measurement periods are shaded blue (lagged).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214312</xdr:colOff>
      <xdr:row>2</xdr:row>
      <xdr:rowOff>250031</xdr:rowOff>
    </xdr:from>
    <xdr:to>
      <xdr:col>25</xdr:col>
      <xdr:colOff>511969</xdr:colOff>
      <xdr:row>4</xdr:row>
      <xdr:rowOff>547687</xdr:rowOff>
    </xdr:to>
    <xdr:sp macro="" textlink="">
      <xdr:nvSpPr>
        <xdr:cNvPr id="2" name="TextBox 1"/>
        <xdr:cNvSpPr txBox="1"/>
      </xdr:nvSpPr>
      <xdr:spPr>
        <a:xfrm>
          <a:off x="22455187" y="478631"/>
          <a:ext cx="2355057" cy="9263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conserve space, Cols Q, R, and U are hidden.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214312</xdr:colOff>
      <xdr:row>2</xdr:row>
      <xdr:rowOff>250031</xdr:rowOff>
    </xdr:from>
    <xdr:to>
      <xdr:col>25</xdr:col>
      <xdr:colOff>511969</xdr:colOff>
      <xdr:row>4</xdr:row>
      <xdr:rowOff>547687</xdr:rowOff>
    </xdr:to>
    <xdr:sp macro="" textlink="">
      <xdr:nvSpPr>
        <xdr:cNvPr id="2" name="TextBox 1"/>
        <xdr:cNvSpPr txBox="1"/>
      </xdr:nvSpPr>
      <xdr:spPr>
        <a:xfrm>
          <a:off x="22455187" y="812006"/>
          <a:ext cx="2126457" cy="9263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conserve space, Cols Q, R, and U are hidden.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28576</xdr:colOff>
      <xdr:row>131</xdr:row>
      <xdr:rowOff>28574</xdr:rowOff>
    </xdr:from>
    <xdr:to>
      <xdr:col>6</xdr:col>
      <xdr:colOff>723901</xdr:colOff>
      <xdr:row>166</xdr:row>
      <xdr:rowOff>9525</xdr:rowOff>
    </xdr:to>
    <xdr:sp macro="" textlink="">
      <xdr:nvSpPr>
        <xdr:cNvPr id="3" name="TextBox 2"/>
        <xdr:cNvSpPr txBox="1"/>
      </xdr:nvSpPr>
      <xdr:spPr>
        <a:xfrm>
          <a:off x="28576" y="19392899"/>
          <a:ext cx="7239000" cy="4838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mn-lt"/>
              <a:ea typeface="+mn-ea"/>
              <a:cs typeface="Arial"/>
            </a:rPr>
            <a:t>Number Of Youth "At Risk"</a:t>
          </a:r>
          <a:r>
            <a:rPr kumimoji="0" lang="en-US" sz="1000" b="0" i="0" u="none" strike="noStrike" kern="0" cap="none" spc="0" normalizeH="0" baseline="0" noProof="0">
              <a:ln>
                <a:noFill/>
              </a:ln>
              <a:solidFill>
                <a:srgbClr val="000000"/>
              </a:solidFill>
              <a:effectLst/>
              <a:uLnTx/>
              <a:uFillTx/>
              <a:latin typeface="+mn-lt"/>
              <a:ea typeface="+mn-ea"/>
              <a:cs typeface="Arial"/>
            </a:rPr>
            <a:t>:  Calculated by multiplying the percent of youth (ages 6-17) in each LME-MCO by a prevalence factor selected from a review of the most recent available NC survey results from the National Survey on Drug Use and Health (NSDUH), available at the SAMHSA website: http://www.samhsa.gov/data/population-data-nsduh/reports?tab=33, and the NC Youth Risk Behavior Survey (YRBS), available at the NC Healthy Schools website: http://www.nchealthyschools.org/data/yrbs/.  The YRBS is administered in odd numbered years.  The number of youth in each LME-MCO in each age group was calculated from </a:t>
          </a:r>
          <a:r>
            <a:rPr lang="en-US" sz="1000" b="0" i="0" baseline="0">
              <a:solidFill>
                <a:schemeClr val="dk1"/>
              </a:solidFill>
              <a:effectLst/>
              <a:latin typeface="+mn-lt"/>
              <a:ea typeface="+mn-ea"/>
              <a:cs typeface="+mn-cs"/>
            </a:rPr>
            <a:t>Office of State Budget and Management (OSBM)</a:t>
          </a:r>
          <a:r>
            <a:rPr kumimoji="0" lang="en-US" sz="1000" b="0" i="0" u="none" strike="noStrike" kern="0" cap="none" spc="0" normalizeH="0" baseline="0" noProof="0">
              <a:ln>
                <a:noFill/>
              </a:ln>
              <a:solidFill>
                <a:srgbClr val="000000"/>
              </a:solidFill>
              <a:effectLst/>
              <a:uLnTx/>
              <a:uFillTx/>
              <a:latin typeface="+mn-lt"/>
              <a:ea typeface="+mn-ea"/>
              <a:cs typeface="Arial"/>
            </a:rPr>
            <a:t> single-age population estimates by county in July </a:t>
          </a:r>
          <a:r>
            <a:rPr lang="en-US" sz="1000" b="0" i="0" baseline="0">
              <a:solidFill>
                <a:schemeClr val="dk1"/>
              </a:solidFill>
              <a:effectLst/>
              <a:latin typeface="+mn-lt"/>
              <a:ea typeface="+mn-ea"/>
              <a:cs typeface="+mn-cs"/>
            </a:rPr>
            <a:t>at the beginning of each SFY. This data is available on the NC OSBM website:  </a:t>
          </a:r>
          <a:r>
            <a:rPr lang="en-US" sz="1000" b="0" i="0">
              <a:solidFill>
                <a:schemeClr val="dk1"/>
              </a:solidFill>
              <a:effectLst/>
              <a:latin typeface="+mn-lt"/>
              <a:ea typeface="+mn-ea"/>
              <a:cs typeface="+mn-cs"/>
            </a:rPr>
            <a:t>http://www.osbm.state.nc.us/demog/countytotals_singleage_20XX.html where "20XX" is the year.</a:t>
          </a: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mn-lt"/>
              <a:ea typeface="+mn-ea"/>
              <a:cs typeface="Arial"/>
            </a:rPr>
            <a:t>A number of measures were considered, and two were selected to estimate the number of youth "at risk" for developing substance abuse.  </a:t>
          </a:r>
          <a:r>
            <a:rPr lang="en-US" sz="1000" b="0" i="0" baseline="0">
              <a:solidFill>
                <a:schemeClr val="dk1"/>
              </a:solidFill>
              <a:effectLst/>
              <a:latin typeface="+mn-lt"/>
              <a:ea typeface="+mn-ea"/>
              <a:cs typeface="+mn-cs"/>
            </a:rPr>
            <a:t>For youth ages 6-11, t</a:t>
          </a:r>
          <a:r>
            <a:rPr kumimoji="0" lang="en-US" sz="1000" b="0" i="0" u="none" strike="noStrike" kern="0" cap="none" spc="0" normalizeH="0" baseline="0" noProof="0">
              <a:ln>
                <a:noFill/>
              </a:ln>
              <a:solidFill>
                <a:srgbClr val="000000"/>
              </a:solidFill>
              <a:effectLst/>
              <a:uLnTx/>
              <a:uFillTx/>
              <a:latin typeface="+mn-lt"/>
              <a:ea typeface="+mn-ea"/>
              <a:cs typeface="Arial"/>
            </a:rPr>
            <a:t>he NC YRBS Middle School Survey question "ever had a drink of alcohol, other than a few sips" responses for 6th graders were used</a:t>
          </a:r>
          <a:r>
            <a:rPr lang="en-US" sz="1000" b="0" i="0" baseline="0">
              <a:solidFill>
                <a:schemeClr val="dk1"/>
              </a:solidFill>
              <a:effectLst/>
              <a:latin typeface="+mn-lt"/>
              <a:ea typeface="+mn-ea"/>
              <a:cs typeface="+mn-cs"/>
            </a:rPr>
            <a:t>.  For youth ages 12-17, the NSDUH Table B.1Illicit Drug Use in Past Month, by Age Group and State results for NC was used.  Illicit drugs include nine categories of illicit drugs: marijuana/hashish, cocaine (including crack), heroin, hallucinogens, inhalants, and the nonmedical use of prescription-type pain relievers, tranquilizers, stimulants, and sedatives. </a:t>
          </a: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For SFY2014</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For youth (ages 6-11), 15.2% of respondents (ages 11 or younger) to Question 32 of the NC YRBS 2011 Middle School Survey (Published Dec 2012) "ever had a drink of alcohol, other than a few sips".  A smaller percentage reported using illicit drugs or tobacco in response to other questions.  If all of these questions could be combined, the percentage "at risk" for all types of substance abuse may be higher.  For youth (ages 12-17), 10.33% of youth in NC have used illicit drugs in the past month, as reported in Table B.1 Illicit Drug Use in Past Month, by Age Group and State:  Percentages, Annual Averages Based on 2010 and 2011 NSDUHs, published Dec 2012</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For SFY2015</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a:t>
          </a:r>
          <a:r>
            <a:rPr kumimoji="0" lang="en-US" sz="1000" b="0" i="0" u="none" strike="noStrike" kern="0" cap="none" spc="0" normalizeH="0" baseline="0" noProof="0">
              <a:ln>
                <a:noFill/>
              </a:ln>
              <a:solidFill>
                <a:prstClr val="black"/>
              </a:solidFill>
              <a:effectLst/>
              <a:uLnTx/>
              <a:uFillTx/>
              <a:latin typeface="+mn-lt"/>
              <a:ea typeface="+mn-ea"/>
              <a:cs typeface="+mn-cs"/>
            </a:rPr>
            <a:t>For youth (ages 6-11), 12.5% of respondents (ages 11 or younger) to Question 31 of the NC YRBS 2013 Middle School Survey (Published April 2014) "ever had a drink of alcohol, other than a few sips".  </a:t>
          </a:r>
          <a:r>
            <a:rPr lang="en-US" sz="1000" b="0" i="0" baseline="0">
              <a:solidFill>
                <a:schemeClr val="dk1"/>
              </a:solidFill>
              <a:effectLst/>
              <a:latin typeface="+mn-lt"/>
              <a:ea typeface="+mn-ea"/>
              <a:cs typeface="+mn-cs"/>
            </a:rPr>
            <a:t>For youth (ages 12-17), 9.65% of youth in NC have used illicit drugs in the past month, as reported in Table B.1 Illicit Drug Use in Past Month, by Age Group and State:  Percentages, Annual Averages Based on 2011 and 2012 NSDUHs, published Oct 2013.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chemeClr val="dk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mn-lt"/>
              <a:ea typeface="+mn-ea"/>
              <a:cs typeface="+mn-cs"/>
            </a:rPr>
            <a:t>For SFY2016</a:t>
          </a:r>
          <a:r>
            <a:rPr kumimoji="0" lang="en-US" sz="1000" b="0" i="0" u="none" strike="noStrike" kern="0" cap="none" spc="0" normalizeH="0" baseline="0" noProof="0">
              <a:ln>
                <a:noFill/>
              </a:ln>
              <a:solidFill>
                <a:prstClr val="black"/>
              </a:solidFill>
              <a:effectLst/>
              <a:uLnTx/>
              <a:uFillTx/>
              <a:latin typeface="+mn-lt"/>
              <a:ea typeface="+mn-ea"/>
              <a:cs typeface="+mn-cs"/>
            </a:rPr>
            <a:t>.  </a:t>
          </a:r>
          <a:r>
            <a:rPr lang="en-US" sz="1000" b="0" i="0" baseline="0">
              <a:solidFill>
                <a:schemeClr val="dk1"/>
              </a:solidFill>
              <a:effectLst/>
              <a:latin typeface="+mn-lt"/>
              <a:ea typeface="+mn-ea"/>
              <a:cs typeface="+mn-cs"/>
            </a:rPr>
            <a:t>For youth (ages 6-11), 12.5% of respondents (ages 11 or younger) to Question 31 of the NC YRBS 2013 Middle School Survey (Published April 2014) "ever had a drink of alcohol, other than a few sips".  </a:t>
          </a:r>
          <a:r>
            <a:rPr kumimoji="0" lang="en-US" sz="1000" b="0" i="0" u="none" strike="noStrike" kern="0" cap="none" spc="0" normalizeH="0" baseline="0" noProof="0">
              <a:ln>
                <a:noFill/>
              </a:ln>
              <a:solidFill>
                <a:prstClr val="black"/>
              </a:solidFill>
              <a:effectLst/>
              <a:uLnTx/>
              <a:uFillTx/>
              <a:latin typeface="+mn-lt"/>
              <a:ea typeface="+mn-ea"/>
              <a:cs typeface="+mn-cs"/>
            </a:rPr>
            <a:t>For youth (ages 12-17), 8.74% of youth in NC have used illicit drugs in the past month, as reported in Table B.1 Illicit Drug Use in Past Month, by Age Group and State:  Percentages, Annual Averages Based on 2012 and 2013 NSDUHs, published Dec 2014.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mn-lt"/>
              <a:ea typeface="+mn-ea"/>
              <a:cs typeface="+mn-cs"/>
            </a:rPr>
            <a:t>For SFY2017</a:t>
          </a:r>
          <a:r>
            <a:rPr kumimoji="0" lang="en-US" sz="1000" b="0" i="0" u="none" strike="noStrike" kern="0" cap="none" spc="0" normalizeH="0" baseline="0" noProof="0">
              <a:ln>
                <a:noFill/>
              </a:ln>
              <a:solidFill>
                <a:prstClr val="black"/>
              </a:solidFill>
              <a:effectLst/>
              <a:uLnTx/>
              <a:uFillTx/>
              <a:latin typeface="+mn-lt"/>
              <a:ea typeface="+mn-ea"/>
              <a:cs typeface="+mn-cs"/>
            </a:rPr>
            <a:t>.  For youth (ages 6-11), 8.4% of respondents (ages 11 or younger) to Question 26 of the NC YRBS 2013 Middle School Survey (Published April 2014) "ever had a drink of alcohol, other than a few sips".  For youth (ages 12-17), 5.20% of youth in NC have used illicit drugs in the past month, as reported in Table B.1 Illicit Drug Use in Past Month, by Age Group and State:  Percentages, Annual Averages Based on 2013 and 2014 NSDUHs, published Dec 2015.  </a:t>
          </a: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rgbClr val="000000"/>
            </a:solidFill>
            <a:effectLst/>
            <a:uLnTx/>
            <a:uFillTx/>
            <a:latin typeface="+mn-lt"/>
            <a:ea typeface="+mn-ea"/>
            <a:cs typeface="Aria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ichael Schwartz" refreshedDate="41668.50914224537" createdVersion="4" refreshedVersion="4" minRefreshableVersion="3" recordCount="102">
  <cacheSource type="worksheet">
    <worksheetSource ref="A5:V107" sheet="Uninsured By County SFY2014"/>
  </cacheSource>
  <cacheFields count="22">
    <cacheField name="County Name" numFmtId="49">
      <sharedItems containsBlank="1" count="102">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m/>
        <s v="North Carolina"/>
      </sharedItems>
    </cacheField>
    <cacheField name="LME-MCO Name" numFmtId="0">
      <sharedItems containsBlank="1" count="13">
        <s v="Cardinal Innovations Healthcare Solutions"/>
        <s v="Smoky Mountain Center"/>
        <s v="Sandhills Center"/>
        <s v="East Carolina Behavioral Health"/>
        <s v="Eastpointe"/>
        <s v="CoastalCare"/>
        <s v="Partners Behavioral Health Management"/>
        <s v="Alliance Behavioral Healthcare"/>
        <s v="CenterPoint Human Services"/>
        <s v="MeckLINK Behavioral Healthcare"/>
        <m/>
        <s v="North Carolina"/>
        <s v="Western Highlands Network" u="1"/>
      </sharedItems>
    </cacheField>
    <cacheField name="Urban vs. Rural" numFmtId="0">
      <sharedItems containsBlank="1"/>
    </cacheField>
    <cacheField name="Total Population" numFmtId="0">
      <sharedItems containsString="0" containsBlank="1" containsNumber="1" containsInteger="1" minValue="4157" maxValue="9873948"/>
    </cacheField>
    <cacheField name="Children _x000a_(Ages 0-2)" numFmtId="0">
      <sharedItems containsString="0" containsBlank="1" containsNumber="1" containsInteger="1" minValue="126" maxValue="365208"/>
    </cacheField>
    <cacheField name="Children _x000a_(Ages 3-17)" numFmtId="0">
      <sharedItems containsString="0" containsBlank="1" containsNumber="1" containsInteger="1" minValue="609" maxValue="1930215"/>
    </cacheField>
    <cacheField name="Adults _x000a_(Age 18)" numFmtId="0">
      <sharedItems containsString="0" containsBlank="1" containsNumber="1" containsInteger="1" minValue="32" maxValue="137577"/>
    </cacheField>
    <cacheField name="Adults _x000a_(Ages 19-20)" numFmtId="0">
      <sharedItems containsString="0" containsBlank="1" containsNumber="1" containsInteger="1" minValue="91" maxValue="297776"/>
    </cacheField>
    <cacheField name="Adults _x000a_(Ages 21-64)" numFmtId="0">
      <sharedItems containsString="0" containsBlank="1" containsNumber="1" containsInteger="1" minValue="2534" maxValue="5740125"/>
    </cacheField>
    <cacheField name="Adults _x000a_(Ages 65+)" numFmtId="0">
      <sharedItems containsString="0" containsBlank="1" containsNumber="1" containsInteger="1" minValue="765" maxValue="1403047"/>
    </cacheField>
    <cacheField name="NonElderly Population (Ages 3-64)" numFmtId="0">
      <sharedItems containsString="0" containsBlank="1" containsNumber="1" containsInteger="1" minValue="3266" maxValue="8105693"/>
    </cacheField>
    <cacheField name="Children UnInsured (Ages 0-18)" numFmtId="165">
      <sharedItems containsMixedTypes="1" containsNumber="1" minValue="6.8000000000000005E-2" maxValue="0.1"/>
    </cacheField>
    <cacheField name="Adults UnInsured (Ages 19-64)" numFmtId="165">
      <sharedItems containsString="0" containsBlank="1" containsNumber="1" minValue="0.17199999999999999" maxValue="0.27100000000000002"/>
    </cacheField>
    <cacheField name="NonElderly UnInsured (Ages 0-64)" numFmtId="165">
      <sharedItems containsString="0" containsBlank="1" containsNumber="1" minValue="0.14699999999999999" maxValue="0.22500000000000001"/>
    </cacheField>
    <cacheField name="Children _x000a_(Ages 0-2)2" numFmtId="0">
      <sharedItems containsString="0" containsBlank="1" containsNumber="1" minValue="11.34" maxValue="30562.660999999996"/>
    </cacheField>
    <cacheField name="Children _x000a_(Ages 3-17)2" numFmtId="0">
      <sharedItems containsString="0" containsBlank="1" containsNumber="1" minValue="54.809999999999995" maxValue="161025.07800000001"/>
    </cacheField>
    <cacheField name="Adults _x000a_(Age 18)2" numFmtId="0">
      <sharedItems containsString="0" containsBlank="1" containsNumber="1" minValue="2.88" maxValue="11469.267"/>
    </cacheField>
    <cacheField name="Adults _x000a_(Ages 19-20)2" numFmtId="0">
      <sharedItems containsString="0" containsBlank="1" containsNumber="1" minValue="24.206000000000003" maxValue="62621.282999999967"/>
    </cacheField>
    <cacheField name="Adults _x000a_(Ages 18-20)" numFmtId="0">
      <sharedItems containsString="0" containsBlank="1" containsNumber="1" minValue="27.086000000000002" maxValue="74090.550000000017"/>
    </cacheField>
    <cacheField name="NonElderly  Adults _x000a_(Ages 21-64)" numFmtId="0">
      <sharedItems containsString="0" containsBlank="1" containsNumber="1" minValue="674.04399999999998" maxValue="1199611.8020000004"/>
    </cacheField>
    <cacheField name="NonElderly Adults _x000a_(Ages 18-64)" numFmtId="0">
      <sharedItems containsString="0" containsBlank="1" containsNumber="1" minValue="701.13" maxValue="1273702.352"/>
    </cacheField>
    <cacheField name="NonElderly UnInsured Population (Ages 3-64)" numFmtId="0">
      <sharedItems containsString="0" containsBlank="1" containsNumber="1" minValue="755.93999999999994" maxValue="1434727.430000000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ichael Schwartz" refreshedDate="41850.832182754632" createdVersion="4" refreshedVersion="4" minRefreshableVersion="3" recordCount="102">
  <cacheSource type="worksheet">
    <worksheetSource ref="A5:V107" sheet="Uninsured By County SFY2015"/>
  </cacheSource>
  <cacheFields count="22">
    <cacheField name="County Name" numFmtId="49">
      <sharedItems containsBlank="1" count="102">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m/>
        <s v="North Carolina"/>
      </sharedItems>
    </cacheField>
    <cacheField name="LME-MCO Name" numFmtId="0">
      <sharedItems containsBlank="1" count="13">
        <s v="Cardinal Innovations Healthcare Solutions"/>
        <s v="Smoky Mountain Center"/>
        <s v="Sandhills Center"/>
        <s v="East Carolina Behavioral Health"/>
        <s v="Eastpointe"/>
        <s v="CoastalCare"/>
        <s v="Partners Behavioral Health Management"/>
        <s v="Alliance Behavioral Healthcare"/>
        <s v="CenterPoint Human Services"/>
        <m/>
        <s v="North Carolina"/>
        <s v="MeckLINK Behavioral Healthcare" u="1"/>
        <s v="Western Highlands Network" u="1"/>
      </sharedItems>
    </cacheField>
    <cacheField name="Urban vs. Rural" numFmtId="0">
      <sharedItems containsBlank="1"/>
    </cacheField>
    <cacheField name="Total Population" numFmtId="0">
      <sharedItems containsString="0" containsBlank="1" containsNumber="1" containsInteger="1" minValue="4114" maxValue="9956488"/>
    </cacheField>
    <cacheField name="Children _x000a_(Ages 0-2)" numFmtId="0">
      <sharedItems containsString="0" containsBlank="1" containsNumber="1" containsInteger="1" minValue="124" maxValue="356415"/>
    </cacheField>
    <cacheField name="Children _x000a_(Ages 3-17)" numFmtId="0">
      <sharedItems containsString="0" containsBlank="1" containsNumber="1" containsInteger="1" minValue="613" maxValue="1935458"/>
    </cacheField>
    <cacheField name="Adults _x000a_(Age 18)" numFmtId="0">
      <sharedItems containsString="0" containsBlank="1" containsNumber="1" containsInteger="1" minValue="36" maxValue="136224"/>
    </cacheField>
    <cacheField name="Adults _x000a_(Ages 19-20)" numFmtId="0">
      <sharedItems containsString="0" containsBlank="1" containsNumber="1" containsInteger="1" minValue="74" maxValue="295641"/>
    </cacheField>
    <cacheField name="Adults _x000a_(Ages 21-64)" numFmtId="0">
      <sharedItems containsString="0" containsBlank="1" containsNumber="1" containsInteger="1" minValue="2493" maxValue="5776812"/>
    </cacheField>
    <cacheField name="Adults _x000a_(Ages 65+)" numFmtId="0">
      <sharedItems containsString="0" containsBlank="1" containsNumber="1" containsInteger="1" minValue="774" maxValue="1455938"/>
    </cacheField>
    <cacheField name="NonElderly Population (Ages 3-64)" numFmtId="0">
      <sharedItems containsString="0" containsBlank="1" containsNumber="1" containsInteger="1" minValue="3216" maxValue="8144135"/>
    </cacheField>
    <cacheField name="Children UnInsured (Ages 0-18)" numFmtId="165">
      <sharedItems containsMixedTypes="1" containsNumber="1" minValue="6.8000000000000005E-2" maxValue="0.1"/>
    </cacheField>
    <cacheField name="Adults UnInsured (Ages 19-64)" numFmtId="165">
      <sharedItems containsString="0" containsBlank="1" containsNumber="1" minValue="0.17199999999999999" maxValue="0.27100000000000002"/>
    </cacheField>
    <cacheField name="NonElderly UnInsured (Ages 0-64)" numFmtId="165">
      <sharedItems containsString="0" containsBlank="1" containsNumber="1" minValue="0.14699999999999999" maxValue="0.22500000000000001"/>
    </cacheField>
    <cacheField name="Children _x000a_(Ages 0-2)2" numFmtId="0">
      <sharedItems containsString="0" containsBlank="1" containsNumber="1" minValue="11.16" maxValue="29817.624999999996"/>
    </cacheField>
    <cacheField name="Children _x000a_(Ages 3-17)2" numFmtId="0">
      <sharedItems containsString="0" containsBlank="1" containsNumber="1" minValue="55.169999999999995" maxValue="161478.51499999998"/>
    </cacheField>
    <cacheField name="Adults _x000a_(Age 18)2" numFmtId="0">
      <sharedItems containsString="0" containsBlank="1" containsNumber="1" minValue="3.2399999999999998" maxValue="11354.073999999999"/>
    </cacheField>
    <cacheField name="Adults _x000a_(Ages 19-20)2" numFmtId="0">
      <sharedItems containsString="0" containsBlank="1" containsNumber="1" minValue="19.684000000000001" maxValue="62143.639999999985"/>
    </cacheField>
    <cacheField name="Adults _x000a_(Ages 18-20)" numFmtId="0">
      <sharedItems containsString="0" containsBlank="1" containsNumber="1" minValue="22.923999999999999" maxValue="73497.714000000036"/>
    </cacheField>
    <cacheField name="NonElderly  Adults _x000a_(Ages 21-64)" numFmtId="0">
      <sharedItems containsString="0" containsBlank="1" containsNumber="1" minValue="663.13800000000003" maxValue="1207115.3490000002"/>
    </cacheField>
    <cacheField name="NonElderly Adults _x000a_(Ages 18-64)" numFmtId="0">
      <sharedItems containsString="0" containsBlank="1" containsNumber="1" minValue="686.06200000000001" maxValue="1280613.0630000003"/>
    </cacheField>
    <cacheField name="NonElderly UnInsured Population (Ages 3-64)" numFmtId="0">
      <sharedItems containsString="0" containsBlank="1" containsNumber="1" minValue="741.23199999999997" maxValue="1442091.57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ichael Schwartz" refreshedDate="42174.659585416666" createdVersion="5" refreshedVersion="5" minRefreshableVersion="3" recordCount="100">
  <cacheSource type="worksheet">
    <worksheetSource ref="A5:S105" sheet="Uninsured By County SFY2016"/>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8">
        <s v="Cardinal Innovations Healthcare Solutions"/>
        <s v="Smoky Mountain Center"/>
        <s v="Sandhills Center"/>
        <s v="Trillium Health Resources"/>
        <s v="Eastpointe"/>
        <s v="Partners Behavioral Health Management"/>
        <s v="Alliance Behavioral Healthcare"/>
        <s v="CenterPoint Human Services"/>
      </sharedItems>
    </cacheField>
    <cacheField name="Urban vs. Rural" numFmtId="0">
      <sharedItems/>
    </cacheField>
    <cacheField name="Total_x000a_Population" numFmtId="167">
      <sharedItems containsSemiMixedTypes="0" containsString="0" containsNumber="1" containsInteger="1" minValue="4084" maxValue="1032073"/>
    </cacheField>
    <cacheField name="Children _x000a_(Ages 0-2)" numFmtId="167">
      <sharedItems containsSemiMixedTypes="0" containsString="0" containsNumber="1" containsInteger="1" minValue="119" maxValue="41410"/>
    </cacheField>
    <cacheField name="Children _x000a_(Ages 3-17)" numFmtId="167">
      <sharedItems containsSemiMixedTypes="0" containsString="0" containsNumber="1" containsInteger="1" minValue="621" maxValue="210151"/>
    </cacheField>
    <cacheField name="Adults _x000a_(Ages 18-20)" numFmtId="167">
      <sharedItems containsSemiMixedTypes="0" containsString="0" containsNumber="1" containsInteger="1" minValue="94" maxValue="40157"/>
    </cacheField>
    <cacheField name="Adults _x000a_(Ages 21-64)" numFmtId="167">
      <sharedItems containsSemiMixedTypes="0" containsString="0" containsNumber="1" containsInteger="1" minValue="2472" maxValue="638333"/>
    </cacheField>
    <cacheField name="Adults _x000a_(Ages 65+)" numFmtId="167">
      <sharedItems containsSemiMixedTypes="0" containsString="0" containsNumber="1" containsInteger="1" minValue="778" maxValue="107044"/>
    </cacheField>
    <cacheField name="NonElderly Population (Ages 3-64)" numFmtId="167">
      <sharedItems containsSemiMixedTypes="0" containsString="0" containsNumber="1" containsInteger="1" minValue="3187" maxValue="883619"/>
    </cacheField>
    <cacheField name="Children_x000a_UnInsured_x000a_(Ages 0-18)" numFmtId="165">
      <sharedItems containsSemiMixedTypes="0" containsString="0" containsNumber="1" minValue="5.0999999999999997E-2" maxValue="0.125"/>
    </cacheField>
    <cacheField name="Adults_x000a_UnInsured_x000a_(Ages 18-64)" numFmtId="165">
      <sharedItems containsSemiMixedTypes="0" containsString="0" containsNumber="1" minValue="0.18" maxValue="0.33"/>
    </cacheField>
    <cacheField name="NonElderly_x000a_UnInsured_x000a_(Ages 0-64)" numFmtId="165">
      <sharedItems containsSemiMixedTypes="0" containsString="0" containsNumber="1" minValue="0.14400000000000002" maxValue="0.26200000000000001"/>
    </cacheField>
    <cacheField name="Children _x000a_(Ages 0-2)2" numFmtId="37">
      <sharedItems containsSemiMixedTypes="0" containsString="0" containsNumber="1" minValue="12.494999999999999" maxValue="2940.1099999999997"/>
    </cacheField>
    <cacheField name="Children _x000a_(Ages 3-17)2" numFmtId="3">
      <sharedItems containsSemiMixedTypes="0" containsString="0" containsNumber="1" minValue="65.204999999999998" maxValue="14833.674999999999"/>
    </cacheField>
    <cacheField name="Adults _x000a_(Ages 18-20)2" numFmtId="3">
      <sharedItems containsSemiMixedTypes="0" containsString="0" containsNumber="1" minValue="27.729999999999997" maxValue="8363.0300000000007"/>
    </cacheField>
    <cacheField name="NonElderly  Adults _x000a_(Ages 21-64)" numFmtId="3">
      <sharedItems containsSemiMixedTypes="0" containsString="0" containsNumber="1" minValue="729.24" maxValue="146816.59"/>
    </cacheField>
    <cacheField name="NonElderly Adults _x000a_(Ages 18-64)" numFmtId="3">
      <sharedItems containsSemiMixedTypes="0" containsString="0" containsNumber="1" minValue="756.97" maxValue="155179.62"/>
    </cacheField>
    <cacheField name="NonElderly UnInsured Population (Ages 3-64)" numFmtId="3">
      <sharedItems containsSemiMixedTypes="0" containsString="0" containsNumber="1" minValue="780.81499999999994" maxValue="163469.5149999999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Michael Schwartz" refreshedDate="42632.506213194443" createdVersion="5" refreshedVersion="5" minRefreshableVersion="3" recordCount="100">
  <cacheSource type="worksheet">
    <worksheetSource ref="A5:S105" sheet="Uninsured By County SFY2017"/>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CenterPoint Human Services" u="1"/>
        <s v="Smoky Mountain Center" u="1"/>
      </sharedItems>
    </cacheField>
    <cacheField name="Urban vs. Rural" numFmtId="0">
      <sharedItems/>
    </cacheField>
    <cacheField name="Total_x000a_Population" numFmtId="167">
      <sharedItems containsSemiMixedTypes="0" containsString="0" containsNumber="1" containsInteger="1" minValue="4141" maxValue="1054561"/>
    </cacheField>
    <cacheField name="Children _x000a_(Ages 0-2)" numFmtId="167">
      <sharedItems containsSemiMixedTypes="0" containsString="0" containsNumber="1" containsInteger="1" minValue="123" maxValue="42441"/>
    </cacheField>
    <cacheField name="Children _x000a_(Ages 3-17)" numFmtId="167">
      <sharedItems containsSemiMixedTypes="0" containsString="0" containsNumber="1" containsInteger="1" minValue="642" maxValue="212675"/>
    </cacheField>
    <cacheField name="Adults _x000a_(Ages 18-20)" numFmtId="167">
      <sharedItems containsSemiMixedTypes="0" containsString="0" containsNumber="1" containsInteger="1" minValue="106" maxValue="41630"/>
    </cacheField>
    <cacheField name="Adults _x000a_(Ages 21-64)" numFmtId="167">
      <sharedItems containsSemiMixedTypes="0" containsString="0" containsNumber="1" containsInteger="1" minValue="2474" maxValue="651596"/>
    </cacheField>
    <cacheField name="Adults _x000a_(Ages 65+)" numFmtId="167">
      <sharedItems containsSemiMixedTypes="0" containsString="0" containsNumber="1" containsInteger="1" minValue="796" maxValue="112229"/>
    </cacheField>
    <cacheField name="NonElderly Population (Ages 3-64)" numFmtId="167">
      <sharedItems containsSemiMixedTypes="0" containsString="0" containsNumber="1" containsInteger="1" minValue="3222" maxValue="899891"/>
    </cacheField>
    <cacheField name="Children_x000a_UnInsured_x000a_(Ages 0-18)" numFmtId="165">
      <sharedItems containsSemiMixedTypes="0" containsString="0" containsNumber="1" minValue="3.9E-2" maxValue="0.10199999999999999"/>
    </cacheField>
    <cacheField name="Adults_x000a_UnInsured_x000a_(Ages 18-64)" numFmtId="165">
      <sharedItems containsSemiMixedTypes="0" containsString="0" containsNumber="1" minValue="0.14400000000000002" maxValue="0.29299999999999998"/>
    </cacheField>
    <cacheField name="NonElderly_x000a_UnInsured_x000a_(Ages 0-64)" numFmtId="165">
      <sharedItems containsSemiMixedTypes="0" containsString="0" containsNumber="1" minValue="0.115" maxValue="0.23199999999999998"/>
    </cacheField>
    <cacheField name="Children _x000a_(Ages 0-2)2" numFmtId="37">
      <sharedItems containsSemiMixedTypes="0" containsString="0" containsNumber="1" minValue="11.968000000000002" maxValue="2206.9320000000002"/>
    </cacheField>
    <cacheField name="Children _x000a_(Ages 3-17)2" numFmtId="3">
      <sharedItems containsSemiMixedTypes="0" containsString="0" containsNumber="1" minValue="63.558" maxValue="11059.1"/>
    </cacheField>
    <cacheField name="Adults _x000a_(Ages 18-20)2" numFmtId="3">
      <sharedItems containsSemiMixedTypes="0" containsString="0" containsNumber="1" minValue="28.726000000000003" maxValue="6807.5479999999998"/>
    </cacheField>
    <cacheField name="NonElderly  Adults _x000a_(Ages 21-64)" numFmtId="3">
      <sharedItems containsSemiMixedTypes="0" containsString="0" containsNumber="1" minValue="670.45400000000006" maxValue="121848.452"/>
    </cacheField>
    <cacheField name="NonElderly Adults _x000a_(Ages 18-64)" numFmtId="3">
      <sharedItems containsSemiMixedTypes="0" containsString="0" containsNumber="1" minValue="699.18000000000006" maxValue="128656"/>
    </cacheField>
    <cacheField name="NonElderly UnInsured Population (Ages 3-64)" numFmtId="3">
      <sharedItems containsSemiMixedTypes="0" containsString="0" containsNumber="1" minValue="728.17200000000003" maxValue="134083.758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2">
  <r>
    <x v="0"/>
    <x v="0"/>
    <s v="Urban"/>
    <n v="154151"/>
    <n v="5331"/>
    <n v="29904"/>
    <n v="2392"/>
    <n v="5438"/>
    <n v="87069"/>
    <n v="24017"/>
    <n v="124803"/>
    <n v="8.7999999999999995E-2"/>
    <n v="0.21299999999999999"/>
    <n v="0.17599999999999999"/>
    <n v="469.12799999999999"/>
    <n v="2631.5519999999997"/>
    <n v="210.49599999999998"/>
    <n v="1158.2939999999999"/>
    <n v="1368.79"/>
    <n v="18545.697"/>
    <n v="19914.487000000001"/>
    <n v="22546.039000000001"/>
  </r>
  <r>
    <x v="1"/>
    <x v="1"/>
    <s v="Rural"/>
    <n v="37209"/>
    <n v="1087"/>
    <n v="6852"/>
    <n v="465"/>
    <n v="878"/>
    <n v="21538"/>
    <n v="6389"/>
    <n v="29733"/>
    <n v="7.5999999999999998E-2"/>
    <n v="0.19500000000000001"/>
    <n v="0.16200000000000001"/>
    <n v="82.611999999999995"/>
    <n v="520.75199999999995"/>
    <n v="35.339999999999996"/>
    <n v="171.21"/>
    <n v="206.55"/>
    <n v="4199.91"/>
    <n v="4406.46"/>
    <n v="4927.2119999999995"/>
  </r>
  <r>
    <x v="2"/>
    <x v="1"/>
    <s v="Rural"/>
    <n v="10874"/>
    <n v="260"/>
    <n v="1775"/>
    <n v="132"/>
    <n v="260"/>
    <n v="5918"/>
    <n v="2529"/>
    <n v="8085"/>
    <n v="8.6999999999999994E-2"/>
    <n v="0.216"/>
    <n v="0.182"/>
    <n v="22.619999999999997"/>
    <n v="154.42499999999998"/>
    <n v="11.484"/>
    <n v="56.16"/>
    <n v="67.643999999999991"/>
    <n v="1278.288"/>
    <n v="1345.932"/>
    <n v="1500.357"/>
  </r>
  <r>
    <x v="3"/>
    <x v="2"/>
    <s v="Rural"/>
    <n v="26635"/>
    <n v="803"/>
    <n v="4770"/>
    <n v="340"/>
    <n v="764"/>
    <n v="15836"/>
    <n v="4122"/>
    <n v="21710"/>
    <n v="8.5000000000000006E-2"/>
    <n v="0.23100000000000001"/>
    <n v="0.192"/>
    <n v="68.25500000000001"/>
    <n v="405.45000000000005"/>
    <n v="28.900000000000002"/>
    <n v="176.48400000000001"/>
    <n v="205.38400000000001"/>
    <n v="3658.116"/>
    <n v="3863.5"/>
    <n v="4268.95"/>
  </r>
  <r>
    <x v="4"/>
    <x v="1"/>
    <s v="Rural"/>
    <n v="27468"/>
    <n v="758"/>
    <n v="4489"/>
    <n v="279"/>
    <n v="553"/>
    <n v="15281"/>
    <n v="6108"/>
    <n v="20602"/>
    <n v="7.5999999999999998E-2"/>
    <n v="0.19700000000000001"/>
    <n v="0.16700000000000001"/>
    <n v="57.607999999999997"/>
    <n v="341.16399999999999"/>
    <n v="21.204000000000001"/>
    <n v="108.941"/>
    <n v="130.14500000000001"/>
    <n v="3010.357"/>
    <n v="3140.502"/>
    <n v="3481.6660000000002"/>
  </r>
  <r>
    <x v="5"/>
    <x v="1"/>
    <s v="Rural"/>
    <n v="17842"/>
    <n v="442"/>
    <n v="2459"/>
    <n v="196"/>
    <n v="451"/>
    <n v="10853"/>
    <n v="3441"/>
    <n v="13959"/>
    <n v="8.2000000000000003E-2"/>
    <n v="0.21099999999999999"/>
    <n v="0.182"/>
    <n v="36.244"/>
    <n v="201.63800000000001"/>
    <n v="16.071999999999999"/>
    <n v="95.161000000000001"/>
    <n v="111.233"/>
    <n v="2289.9829999999997"/>
    <n v="2401.2159999999999"/>
    <n v="2602.8539999999998"/>
  </r>
  <r>
    <x v="6"/>
    <x v="3"/>
    <s v="Rural"/>
    <n v="48010"/>
    <n v="1548"/>
    <n v="8751"/>
    <n v="554"/>
    <n v="1036"/>
    <n v="26140"/>
    <n v="9981"/>
    <n v="36481"/>
    <n v="8.5000000000000006E-2"/>
    <n v="0.20300000000000001"/>
    <n v="0.17"/>
    <n v="131.58000000000001"/>
    <n v="743.83500000000004"/>
    <n v="47.09"/>
    <n v="210.30800000000002"/>
    <n v="257.39800000000002"/>
    <n v="5306.42"/>
    <n v="5563.8180000000002"/>
    <n v="6307.6530000000002"/>
  </r>
  <r>
    <x v="7"/>
    <x v="3"/>
    <s v="Rural"/>
    <n v="20450"/>
    <n v="586"/>
    <n v="3508"/>
    <n v="215"/>
    <n v="419"/>
    <n v="12042"/>
    <n v="3680"/>
    <n v="16184"/>
    <n v="8.6999999999999994E-2"/>
    <n v="0.248"/>
    <n v="0.20599999999999999"/>
    <n v="50.981999999999999"/>
    <n v="305.19599999999997"/>
    <n v="18.704999999999998"/>
    <n v="103.91200000000001"/>
    <n v="122.617"/>
    <n v="2986.4160000000002"/>
    <n v="3109.0330000000004"/>
    <n v="3414.2290000000003"/>
  </r>
  <r>
    <x v="8"/>
    <x v="4"/>
    <s v="Rural"/>
    <n v="35226"/>
    <n v="1078"/>
    <n v="6648"/>
    <n v="455"/>
    <n v="906"/>
    <n v="19979"/>
    <n v="6160"/>
    <n v="27988"/>
    <n v="8.5999999999999993E-2"/>
    <n v="0.21199999999999999"/>
    <n v="0.17699999999999999"/>
    <n v="92.707999999999998"/>
    <n v="571.72799999999995"/>
    <n v="39.129999999999995"/>
    <n v="192.072"/>
    <n v="231.202"/>
    <n v="4235.5479999999998"/>
    <n v="4466.75"/>
    <n v="5038.4780000000001"/>
  </r>
  <r>
    <x v="9"/>
    <x v="5"/>
    <s v="Rural"/>
    <n v="114882"/>
    <n v="3187"/>
    <n v="17605"/>
    <n v="1018"/>
    <n v="2076"/>
    <n v="61680"/>
    <n v="29316"/>
    <n v="82379"/>
    <n v="7.8E-2"/>
    <n v="0.2"/>
    <n v="0.17"/>
    <n v="248.58600000000001"/>
    <n v="1373.19"/>
    <n v="79.403999999999996"/>
    <n v="415.20000000000005"/>
    <n v="494.60400000000004"/>
    <n v="12336"/>
    <n v="12830.603999999999"/>
    <n v="14203.794"/>
  </r>
  <r>
    <x v="10"/>
    <x v="1"/>
    <s v="Urban"/>
    <n v="248578"/>
    <n v="7837"/>
    <n v="41423"/>
    <n v="2884"/>
    <n v="5859"/>
    <n v="147277"/>
    <n v="43298"/>
    <n v="197443"/>
    <n v="7.6999999999999999E-2"/>
    <n v="0.185"/>
    <n v="0.158"/>
    <n v="603.44899999999996"/>
    <n v="3189.5709999999999"/>
    <n v="222.06799999999998"/>
    <n v="1083.915"/>
    <n v="1305.9829999999999"/>
    <n v="27246.244999999999"/>
    <n v="28552.227999999999"/>
    <n v="31741.798999999999"/>
  </r>
  <r>
    <x v="11"/>
    <x v="6"/>
    <s v="Rural"/>
    <n v="89604"/>
    <n v="2609"/>
    <n v="16406"/>
    <n v="1702"/>
    <n v="2811"/>
    <n v="50316"/>
    <n v="15760"/>
    <n v="71235"/>
    <n v="0.08"/>
    <n v="0.187"/>
    <n v="0.156"/>
    <n v="208.72"/>
    <n v="1312.48"/>
    <n v="136.16"/>
    <n v="525.65700000000004"/>
    <n v="661.81700000000001"/>
    <n v="9409.0920000000006"/>
    <n v="10070.909"/>
    <n v="11383.388999999999"/>
  </r>
  <r>
    <x v="12"/>
    <x v="0"/>
    <s v="Urban"/>
    <n v="186531"/>
    <n v="7146"/>
    <n v="41700"/>
    <n v="2533"/>
    <n v="5009"/>
    <n v="107427"/>
    <n v="22716"/>
    <n v="156669"/>
    <n v="8.1000000000000003E-2"/>
    <n v="0.20899999999999999"/>
    <n v="0.16800000000000001"/>
    <n v="578.82600000000002"/>
    <n v="3377.7000000000003"/>
    <n v="205.173"/>
    <n v="1046.8809999999999"/>
    <n v="1252.0539999999999"/>
    <n v="22452.242999999999"/>
    <n v="23704.296999999999"/>
    <n v="27081.996999999999"/>
  </r>
  <r>
    <x v="13"/>
    <x v="1"/>
    <s v="Rural"/>
    <n v="82362"/>
    <n v="2395"/>
    <n v="15188"/>
    <n v="1099"/>
    <n v="2348"/>
    <n v="47273"/>
    <n v="14059"/>
    <n v="65908"/>
    <n v="7.6999999999999999E-2"/>
    <n v="0.186"/>
    <n v="0.156"/>
    <n v="184.41499999999999"/>
    <n v="1169.4759999999999"/>
    <n v="84.623000000000005"/>
    <n v="436.72800000000001"/>
    <n v="521.351"/>
    <n v="8792.7780000000002"/>
    <n v="9314.1290000000008"/>
    <n v="10483.605000000001"/>
  </r>
  <r>
    <x v="14"/>
    <x v="3"/>
    <s v="Rural"/>
    <n v="9802"/>
    <n v="239"/>
    <n v="1944"/>
    <n v="141"/>
    <n v="251"/>
    <n v="5766"/>
    <n v="1461"/>
    <n v="8102"/>
    <n v="6.8000000000000005E-2"/>
    <n v="0.19500000000000001"/>
    <n v="0.156"/>
    <n v="16.252000000000002"/>
    <n v="132.19200000000001"/>
    <n v="9.588000000000001"/>
    <n v="48.945"/>
    <n v="58.533000000000001"/>
    <n v="1124.3700000000001"/>
    <n v="1182.903"/>
    <n v="1315.095"/>
  </r>
  <r>
    <x v="15"/>
    <x v="5"/>
    <s v="Rural"/>
    <n v="69138"/>
    <n v="1865"/>
    <n v="10642"/>
    <n v="790"/>
    <n v="1501"/>
    <n v="39709"/>
    <n v="14631"/>
    <n v="52642"/>
    <n v="7.3999999999999996E-2"/>
    <n v="0.188"/>
    <n v="0.161"/>
    <n v="138.01"/>
    <n v="787.50799999999992"/>
    <n v="58.459999999999994"/>
    <n v="282.18799999999999"/>
    <n v="340.64799999999997"/>
    <n v="7465.2920000000004"/>
    <n v="7805.9400000000005"/>
    <n v="8593.4480000000003"/>
  </r>
  <r>
    <x v="16"/>
    <x v="0"/>
    <s v="Rural"/>
    <n v="23582"/>
    <n v="600"/>
    <n v="3906"/>
    <n v="257"/>
    <n v="558"/>
    <n v="14064"/>
    <n v="4197"/>
    <n v="18785"/>
    <n v="8.1000000000000003E-2"/>
    <n v="0.23200000000000001"/>
    <n v="0.19400000000000001"/>
    <n v="48.6"/>
    <n v="316.38600000000002"/>
    <n v="20.817"/>
    <n v="129.45600000000002"/>
    <n v="150.27300000000002"/>
    <n v="3262.848"/>
    <n v="3413.1210000000001"/>
    <n v="3729.5070000000001"/>
  </r>
  <r>
    <x v="17"/>
    <x v="6"/>
    <s v="Urban"/>
    <n v="156287"/>
    <n v="5438"/>
    <n v="30614"/>
    <n v="2126"/>
    <n v="4264"/>
    <n v="89481"/>
    <n v="24364"/>
    <n v="126485"/>
    <n v="7.9000000000000001E-2"/>
    <n v="0.17499999999999999"/>
    <n v="0.14699999999999999"/>
    <n v="429.60200000000003"/>
    <n v="2418.5059999999999"/>
    <n v="167.95400000000001"/>
    <n v="746.19999999999993"/>
    <n v="914.154"/>
    <n v="15659.174999999999"/>
    <n v="16573.328999999998"/>
    <n v="18991.834999999999"/>
  </r>
  <r>
    <x v="18"/>
    <x v="0"/>
    <s v="Rural"/>
    <n v="67857"/>
    <n v="1960"/>
    <n v="12024"/>
    <n v="721"/>
    <n v="1340"/>
    <n v="37438"/>
    <n v="14374"/>
    <n v="51523"/>
    <n v="8.8999999999999996E-2"/>
    <n v="0.22500000000000001"/>
    <n v="0.188"/>
    <n v="174.44"/>
    <n v="1070.136"/>
    <n v="64.168999999999997"/>
    <n v="301.5"/>
    <n v="365.66899999999998"/>
    <n v="8423.5500000000011"/>
    <n v="8789.219000000001"/>
    <n v="9859.3550000000014"/>
  </r>
  <r>
    <x v="19"/>
    <x v="1"/>
    <s v="Rural"/>
    <n v="26907"/>
    <n v="578"/>
    <n v="4311"/>
    <n v="301"/>
    <n v="543"/>
    <n v="14192"/>
    <n v="6982"/>
    <n v="19347"/>
    <n v="7.9000000000000001E-2"/>
    <n v="0.17199999999999999"/>
    <n v="0.14799999999999999"/>
    <n v="45.661999999999999"/>
    <n v="340.56900000000002"/>
    <n v="23.779"/>
    <n v="93.395999999999987"/>
    <n v="117.17499999999998"/>
    <n v="2441.0239999999999"/>
    <n v="2558.1990000000001"/>
    <n v="2898.768"/>
  </r>
  <r>
    <x v="20"/>
    <x v="3"/>
    <s v="Rural"/>
    <n v="14761"/>
    <n v="480"/>
    <n v="2699"/>
    <n v="206"/>
    <n v="323"/>
    <n v="7913"/>
    <n v="3140"/>
    <n v="11141"/>
    <n v="8.2000000000000003E-2"/>
    <n v="0.20599999999999999"/>
    <n v="0.17"/>
    <n v="39.36"/>
    <n v="221.31800000000001"/>
    <n v="16.891999999999999"/>
    <n v="66.537999999999997"/>
    <n v="83.429999999999993"/>
    <n v="1630.078"/>
    <n v="1713.508"/>
    <n v="1934.826"/>
  </r>
  <r>
    <x v="21"/>
    <x v="1"/>
    <s v="Rural"/>
    <n v="10559"/>
    <n v="192"/>
    <n v="1649"/>
    <n v="103"/>
    <n v="202"/>
    <n v="5540"/>
    <n v="2873"/>
    <n v="7494"/>
    <n v="7.5999999999999998E-2"/>
    <n v="0.187"/>
    <n v="0.16"/>
    <n v="14.591999999999999"/>
    <n v="125.324"/>
    <n v="7.8279999999999994"/>
    <n v="37.774000000000001"/>
    <n v="45.602000000000004"/>
    <n v="1035.98"/>
    <n v="1081.5820000000001"/>
    <n v="1206.9060000000002"/>
  </r>
  <r>
    <x v="22"/>
    <x v="6"/>
    <s v="Rural"/>
    <n v="97280"/>
    <n v="3237"/>
    <n v="18607"/>
    <n v="1461"/>
    <n v="3026"/>
    <n v="54887"/>
    <n v="16062"/>
    <n v="77981"/>
    <n v="7.9000000000000001E-2"/>
    <n v="0.193"/>
    <n v="0.16"/>
    <n v="255.72300000000001"/>
    <n v="1469.953"/>
    <n v="115.419"/>
    <n v="584.01800000000003"/>
    <n v="699.43700000000001"/>
    <n v="10593.191000000001"/>
    <n v="11292.628000000001"/>
    <n v="12762.581"/>
  </r>
  <r>
    <x v="23"/>
    <x v="4"/>
    <s v="Rural"/>
    <n v="57846"/>
    <n v="1874"/>
    <n v="11035"/>
    <n v="825"/>
    <n v="1439"/>
    <n v="32914"/>
    <n v="9759"/>
    <n v="46213"/>
    <n v="8.5000000000000006E-2"/>
    <n v="0.222"/>
    <n v="0.183"/>
    <n v="159.29000000000002"/>
    <n v="937.97500000000002"/>
    <n v="70.125"/>
    <n v="319.45800000000003"/>
    <n v="389.58300000000003"/>
    <n v="7306.9080000000004"/>
    <n v="7696.491"/>
    <n v="8634.4660000000003"/>
  </r>
  <r>
    <x v="24"/>
    <x v="3"/>
    <s v="Rural"/>
    <n v="105373"/>
    <n v="4964"/>
    <n v="20610"/>
    <n v="1281"/>
    <n v="3518"/>
    <n v="57921"/>
    <n v="17079"/>
    <n v="83330"/>
    <n v="0.08"/>
    <n v="0.20200000000000001"/>
    <n v="0.16600000000000001"/>
    <n v="397.12"/>
    <n v="1648.8"/>
    <n v="102.48"/>
    <n v="710.63600000000008"/>
    <n v="813.1160000000001"/>
    <n v="11700.042000000001"/>
    <n v="12513.158000000001"/>
    <n v="14161.958000000001"/>
  </r>
  <r>
    <x v="25"/>
    <x v="7"/>
    <s v="Urban"/>
    <n v="334126"/>
    <n v="17307"/>
    <n v="72310"/>
    <n v="4499"/>
    <n v="11488"/>
    <n v="193622"/>
    <n v="34900"/>
    <n v="281919"/>
    <n v="8.5999999999999993E-2"/>
    <n v="0.22800000000000001"/>
    <n v="0.184"/>
    <n v="1488.4019999999998"/>
    <n v="6218.66"/>
    <n v="386.91399999999999"/>
    <n v="2619.2640000000001"/>
    <n v="3006.1779999999999"/>
    <n v="44145.815999999999"/>
    <n v="47151.993999999999"/>
    <n v="53370.653999999995"/>
  </r>
  <r>
    <x v="26"/>
    <x v="3"/>
    <s v="Rural"/>
    <n v="23550"/>
    <n v="580"/>
    <n v="4452"/>
    <n v="332"/>
    <n v="594"/>
    <n v="14112"/>
    <n v="3480"/>
    <n v="19490"/>
    <n v="7.0000000000000007E-2"/>
    <n v="0.19800000000000001"/>
    <n v="0.16200000000000001"/>
    <n v="40.6"/>
    <n v="311.64000000000004"/>
    <n v="23.240000000000002"/>
    <n v="117.61200000000001"/>
    <n v="140.852"/>
    <n v="2794.1759999999999"/>
    <n v="2935.0279999999998"/>
    <n v="3246.6679999999997"/>
  </r>
  <r>
    <x v="27"/>
    <x v="3"/>
    <s v="Rural"/>
    <n v="35330"/>
    <n v="1131"/>
    <n v="5754"/>
    <n v="322"/>
    <n v="610"/>
    <n v="21296"/>
    <n v="6217"/>
    <n v="27982"/>
    <n v="7.8E-2"/>
    <n v="0.182"/>
    <n v="0.157"/>
    <n v="88.218000000000004"/>
    <n v="448.81200000000001"/>
    <n v="25.116"/>
    <n v="111.02"/>
    <n v="136.136"/>
    <n v="3875.8719999999998"/>
    <n v="4012.0079999999998"/>
    <n v="4460.82"/>
  </r>
  <r>
    <x v="28"/>
    <x v="0"/>
    <s v="Urban"/>
    <n v="164232"/>
    <n v="5240"/>
    <n v="32230"/>
    <n v="1962"/>
    <n v="3937"/>
    <n v="94775"/>
    <n v="26088"/>
    <n v="132904"/>
    <n v="7.8E-2"/>
    <n v="0.20499999999999999"/>
    <n v="0.16900000000000001"/>
    <n v="408.72"/>
    <n v="2513.94"/>
    <n v="153.036"/>
    <n v="807.08499999999992"/>
    <n v="960.12099999999987"/>
    <n v="19428.875"/>
    <n v="20388.995999999999"/>
    <n v="22902.935999999998"/>
  </r>
  <r>
    <x v="29"/>
    <x v="8"/>
    <s v="Rural"/>
    <n v="41453"/>
    <n v="1212"/>
    <n v="7889"/>
    <n v="598"/>
    <n v="923"/>
    <n v="23280"/>
    <n v="7551"/>
    <n v="32690"/>
    <n v="7.5999999999999998E-2"/>
    <n v="0.19800000000000001"/>
    <n v="0.16300000000000001"/>
    <n v="92.111999999999995"/>
    <n v="599.56399999999996"/>
    <n v="45.448"/>
    <n v="182.75400000000002"/>
    <n v="228.20200000000003"/>
    <n v="4609.4400000000005"/>
    <n v="4837.6420000000007"/>
    <n v="5437.206000000001"/>
  </r>
  <r>
    <x v="30"/>
    <x v="4"/>
    <s v="Rural"/>
    <n v="60760"/>
    <n v="2338"/>
    <n v="12680"/>
    <n v="775"/>
    <n v="1556"/>
    <n v="33788"/>
    <n v="9623"/>
    <n v="48799"/>
    <n v="0.1"/>
    <n v="0.26700000000000002"/>
    <n v="0.216"/>
    <n v="233.8"/>
    <n v="1268"/>
    <n v="77.5"/>
    <n v="415.452"/>
    <n v="492.952"/>
    <n v="9021.3960000000006"/>
    <n v="9514.348"/>
    <n v="10782.348"/>
  </r>
  <r>
    <x v="31"/>
    <x v="7"/>
    <s v="Urban"/>
    <n v="289042"/>
    <n v="13077"/>
    <n v="52749"/>
    <n v="4022"/>
    <n v="10179"/>
    <n v="178192"/>
    <n v="30823"/>
    <n v="245142"/>
    <n v="9.0999999999999998E-2"/>
    <n v="0.215"/>
    <n v="0.18099999999999999"/>
    <n v="1190.0070000000001"/>
    <n v="4800.1589999999997"/>
    <n v="366.00200000000001"/>
    <n v="2188.4850000000001"/>
    <n v="2554.4870000000001"/>
    <n v="38311.279999999999"/>
    <n v="40865.767"/>
    <n v="45665.925999999999"/>
  </r>
  <r>
    <x v="32"/>
    <x v="4"/>
    <s v="Rural"/>
    <n v="55840"/>
    <n v="2029"/>
    <n v="11150"/>
    <n v="819"/>
    <n v="1589"/>
    <n v="31312"/>
    <n v="8941"/>
    <n v="44870"/>
    <n v="8.7999999999999995E-2"/>
    <n v="0.222"/>
    <n v="0.182"/>
    <n v="178.55199999999999"/>
    <n v="981.19999999999993"/>
    <n v="72.072000000000003"/>
    <n v="352.75799999999998"/>
    <n v="424.83"/>
    <n v="6951.2640000000001"/>
    <n v="7376.0940000000001"/>
    <n v="8357.2939999999999"/>
  </r>
  <r>
    <x v="33"/>
    <x v="8"/>
    <s v="Urban"/>
    <n v="361710"/>
    <n v="14048"/>
    <n v="72642"/>
    <n v="4680"/>
    <n v="9926"/>
    <n v="209721"/>
    <n v="50693"/>
    <n v="296969"/>
    <n v="8.8999999999999996E-2"/>
    <n v="0.20300000000000001"/>
    <n v="0.16900000000000001"/>
    <n v="1250.2719999999999"/>
    <n v="6465.1379999999999"/>
    <n v="416.52"/>
    <n v="2014.9780000000001"/>
    <n v="2431.498"/>
    <n v="42573.363000000005"/>
    <n v="45004.861000000004"/>
    <n v="51469.999000000003"/>
  </r>
  <r>
    <x v="34"/>
    <x v="0"/>
    <s v="Rural"/>
    <n v="62346"/>
    <n v="2052"/>
    <n v="12569"/>
    <n v="833"/>
    <n v="1544"/>
    <n v="36415"/>
    <n v="8933"/>
    <n v="51361"/>
    <n v="8.4000000000000005E-2"/>
    <n v="0.23"/>
    <n v="0.187"/>
    <n v="172.36800000000002"/>
    <n v="1055.796"/>
    <n v="69.972000000000008"/>
    <n v="355.12"/>
    <n v="425.09199999999998"/>
    <n v="8375.4500000000007"/>
    <n v="8800.5420000000013"/>
    <n v="9856.3380000000016"/>
  </r>
  <r>
    <x v="35"/>
    <x v="6"/>
    <s v="Urban"/>
    <n v="209652"/>
    <n v="7657"/>
    <n v="41169"/>
    <n v="2810"/>
    <n v="5589"/>
    <n v="122146"/>
    <n v="30281"/>
    <n v="171714"/>
    <n v="0.08"/>
    <n v="0.20300000000000001"/>
    <n v="0.16800000000000001"/>
    <n v="612.56000000000006"/>
    <n v="3293.52"/>
    <n v="224.8"/>
    <n v="1134.567"/>
    <n v="1359.367"/>
    <n v="24795.638000000003"/>
    <n v="26155.005000000001"/>
    <n v="29448.525000000001"/>
  </r>
  <r>
    <x v="36"/>
    <x v="3"/>
    <s v="Rural"/>
    <n v="11569"/>
    <n v="252"/>
    <n v="2111"/>
    <n v="162"/>
    <n v="391"/>
    <n v="6663"/>
    <n v="1990"/>
    <n v="9327"/>
    <n v="7.6999999999999999E-2"/>
    <n v="0.22800000000000001"/>
    <n v="0.185"/>
    <n v="19.404"/>
    <n v="162.547"/>
    <n v="12.474"/>
    <n v="89.147999999999996"/>
    <n v="101.622"/>
    <n v="1519.164"/>
    <n v="1620.7860000000001"/>
    <n v="1783.3330000000001"/>
  </r>
  <r>
    <x v="37"/>
    <x v="1"/>
    <s v="Rural"/>
    <n v="8994"/>
    <n v="282"/>
    <n v="1616"/>
    <n v="110"/>
    <n v="209"/>
    <n v="4825"/>
    <n v="1952"/>
    <n v="6760"/>
    <n v="7.9000000000000001E-2"/>
    <n v="0.20399999999999999"/>
    <n v="0.16900000000000001"/>
    <n v="22.277999999999999"/>
    <n v="127.664"/>
    <n v="8.69"/>
    <n v="42.635999999999996"/>
    <n v="51.325999999999993"/>
    <n v="984.3"/>
    <n v="1035.626"/>
    <n v="1163.29"/>
  </r>
  <r>
    <x v="38"/>
    <x v="0"/>
    <s v="Rural"/>
    <n v="56845"/>
    <n v="1708"/>
    <n v="10303"/>
    <n v="699"/>
    <n v="1973"/>
    <n v="34094"/>
    <n v="8068"/>
    <n v="47069"/>
    <n v="8.4000000000000005E-2"/>
    <n v="0.20499999999999999"/>
    <n v="0.17299999999999999"/>
    <n v="143.47200000000001"/>
    <n v="865.452"/>
    <n v="58.716000000000001"/>
    <n v="404.46499999999997"/>
    <n v="463.18099999999998"/>
    <n v="6989.2699999999995"/>
    <n v="7452.4509999999991"/>
    <n v="8317.9029999999984"/>
  </r>
  <r>
    <x v="39"/>
    <x v="4"/>
    <s v="Rural"/>
    <n v="21296"/>
    <n v="679"/>
    <n v="4133"/>
    <n v="235"/>
    <n v="490"/>
    <n v="12812"/>
    <n v="2947"/>
    <n v="17670"/>
    <n v="9.7000000000000003E-2"/>
    <n v="0.27"/>
    <n v="0.223"/>
    <n v="65.863"/>
    <n v="400.90100000000001"/>
    <n v="22.795000000000002"/>
    <n v="132.30000000000001"/>
    <n v="155.09500000000003"/>
    <n v="3459.2400000000002"/>
    <n v="3614.335"/>
    <n v="4015.2359999999999"/>
  </r>
  <r>
    <x v="40"/>
    <x v="2"/>
    <s v="Urban"/>
    <n v="509388"/>
    <n v="18417"/>
    <n v="97026"/>
    <n v="8287"/>
    <n v="18972"/>
    <n v="298563"/>
    <n v="68123"/>
    <n v="422848"/>
    <n v="8.5000000000000006E-2"/>
    <n v="0.20300000000000001"/>
    <n v="0.16900000000000001"/>
    <n v="1565.4450000000002"/>
    <n v="8247.2100000000009"/>
    <n v="704.3950000000001"/>
    <n v="3851.3160000000003"/>
    <n v="4555.7110000000002"/>
    <n v="60608.289000000004"/>
    <n v="65164.000000000007"/>
    <n v="73411.210000000006"/>
  </r>
  <r>
    <x v="41"/>
    <x v="0"/>
    <s v="Rural"/>
    <n v="54064"/>
    <n v="1789"/>
    <n v="10106"/>
    <n v="667"/>
    <n v="1489"/>
    <n v="30561"/>
    <n v="9452"/>
    <n v="42823"/>
    <n v="8.5999999999999993E-2"/>
    <n v="0.23"/>
    <n v="0.189"/>
    <n v="153.85399999999998"/>
    <n v="869.11599999999999"/>
    <n v="57.361999999999995"/>
    <n v="342.47"/>
    <n v="399.83199999999999"/>
    <n v="7029.0300000000007"/>
    <n v="7428.862000000001"/>
    <n v="8297.978000000001"/>
  </r>
  <r>
    <x v="42"/>
    <x v="2"/>
    <s v="Rural"/>
    <n v="124118"/>
    <n v="5401"/>
    <n v="28679"/>
    <n v="1810"/>
    <n v="3674"/>
    <n v="70401"/>
    <n v="14153"/>
    <n v="104564"/>
    <n v="8.5000000000000006E-2"/>
    <n v="0.24299999999999999"/>
    <n v="0.191"/>
    <n v="459.08500000000004"/>
    <n v="2437.7150000000001"/>
    <n v="153.85000000000002"/>
    <n v="892.78199999999993"/>
    <n v="1046.6320000000001"/>
    <n v="17107.442999999999"/>
    <n v="18154.075000000001"/>
    <n v="20591.79"/>
  </r>
  <r>
    <x v="43"/>
    <x v="1"/>
    <s v="Rural"/>
    <n v="59765"/>
    <n v="1683"/>
    <n v="9527"/>
    <n v="699"/>
    <n v="1285"/>
    <n v="32796"/>
    <n v="13775"/>
    <n v="44307"/>
    <n v="7.3999999999999996E-2"/>
    <n v="0.18"/>
    <n v="0.153"/>
    <n v="124.54199999999999"/>
    <n v="704.99799999999993"/>
    <n v="51.725999999999999"/>
    <n v="231.29999999999998"/>
    <n v="283.02599999999995"/>
    <n v="5903.28"/>
    <n v="6186.3059999999996"/>
    <n v="6891.3039999999992"/>
  </r>
  <r>
    <x v="44"/>
    <x v="1"/>
    <s v="Rural"/>
    <n v="108630"/>
    <n v="3269"/>
    <n v="18681"/>
    <n v="1101"/>
    <n v="1965"/>
    <n v="57436"/>
    <n v="26178"/>
    <n v="79183"/>
    <n v="8.2000000000000003E-2"/>
    <n v="0.2"/>
    <n v="0.16800000000000001"/>
    <n v="268.05799999999999"/>
    <n v="1531.8420000000001"/>
    <n v="90.282000000000011"/>
    <n v="393"/>
    <n v="483.28200000000004"/>
    <n v="11487.2"/>
    <n v="11970.482"/>
    <n v="13502.324000000001"/>
  </r>
  <r>
    <x v="45"/>
    <x v="3"/>
    <s v="Rural"/>
    <n v="24588"/>
    <n v="710"/>
    <n v="4241"/>
    <n v="529"/>
    <n v="844"/>
    <n v="14119"/>
    <n v="4145"/>
    <n v="19733"/>
    <n v="8.8999999999999996E-2"/>
    <n v="0.22700000000000001"/>
    <n v="0.188"/>
    <n v="63.19"/>
    <n v="377.44899999999996"/>
    <n v="47.080999999999996"/>
    <n v="191.58799999999999"/>
    <n v="238.66899999999998"/>
    <n v="3205.0129999999999"/>
    <n v="3443.6819999999998"/>
    <n v="3821.1309999999999"/>
  </r>
  <r>
    <x v="46"/>
    <x v="2"/>
    <s v="Rural"/>
    <n v="50951"/>
    <n v="2928"/>
    <n v="12722"/>
    <n v="651"/>
    <n v="1287"/>
    <n v="29212"/>
    <n v="4151"/>
    <n v="43872"/>
    <n v="8.7999999999999995E-2"/>
    <n v="0.27100000000000002"/>
    <n v="0.21"/>
    <n v="257.66399999999999"/>
    <n v="1119.5359999999998"/>
    <n v="57.287999999999997"/>
    <n v="348.77700000000004"/>
    <n v="406.06500000000005"/>
    <n v="7916.4520000000002"/>
    <n v="8322.5169999999998"/>
    <n v="9442.0529999999999"/>
  </r>
  <r>
    <x v="47"/>
    <x v="3"/>
    <s v="Rural"/>
    <n v="5769"/>
    <n v="154"/>
    <n v="858"/>
    <n v="43"/>
    <n v="133"/>
    <n v="3622"/>
    <n v="959"/>
    <n v="4656"/>
    <n v="8.5000000000000006E-2"/>
    <n v="0.246"/>
    <n v="0.20899999999999999"/>
    <n v="13.090000000000002"/>
    <n v="72.930000000000007"/>
    <n v="3.6550000000000002"/>
    <n v="32.717999999999996"/>
    <n v="36.372999999999998"/>
    <n v="891.01199999999994"/>
    <n v="927.38499999999999"/>
    <n v="1000.3150000000001"/>
  </r>
  <r>
    <x v="48"/>
    <x v="6"/>
    <s v="Rural"/>
    <n v="164883"/>
    <n v="5419"/>
    <n v="34134"/>
    <n v="2362"/>
    <n v="4394"/>
    <n v="95366"/>
    <n v="23208"/>
    <n v="136256"/>
    <n v="7.6999999999999999E-2"/>
    <n v="0.191"/>
    <n v="0.157"/>
    <n v="417.26299999999998"/>
    <n v="2628.3179999999998"/>
    <n v="181.874"/>
    <n v="839.25400000000002"/>
    <n v="1021.128"/>
    <n v="18214.905999999999"/>
    <n v="19236.034"/>
    <n v="21864.351999999999"/>
  </r>
  <r>
    <x v="49"/>
    <x v="1"/>
    <s v="Rural"/>
    <n v="41111"/>
    <n v="1186"/>
    <n v="6053"/>
    <n v="1005"/>
    <n v="2890"/>
    <n v="22924"/>
    <n v="7053"/>
    <n v="32872"/>
    <n v="8.3000000000000004E-2"/>
    <n v="0.20599999999999999"/>
    <n v="0.17399999999999999"/>
    <n v="98.438000000000002"/>
    <n v="502.399"/>
    <n v="83.415000000000006"/>
    <n v="595.33999999999992"/>
    <n v="678.75499999999988"/>
    <n v="4722.3440000000001"/>
    <n v="5401.0990000000002"/>
    <n v="5903.4980000000005"/>
  </r>
  <r>
    <x v="50"/>
    <x v="7"/>
    <s v="Rural"/>
    <n v="177043"/>
    <n v="6937"/>
    <n v="40536"/>
    <n v="2632"/>
    <n v="4127"/>
    <n v="102258"/>
    <n v="20553"/>
    <n v="149553"/>
    <n v="8.5000000000000006E-2"/>
    <n v="0.23300000000000001"/>
    <n v="0.185"/>
    <n v="589.6450000000001"/>
    <n v="3445.5600000000004"/>
    <n v="223.72000000000003"/>
    <n v="961.59100000000001"/>
    <n v="1185.3110000000001"/>
    <n v="23826.114000000001"/>
    <n v="25011.425000000003"/>
    <n v="28456.985000000004"/>
  </r>
  <r>
    <x v="51"/>
    <x v="3"/>
    <s v="Rural"/>
    <n v="10636"/>
    <n v="315"/>
    <n v="1890"/>
    <n v="105"/>
    <n v="240"/>
    <n v="6106"/>
    <n v="1980"/>
    <n v="8341"/>
    <n v="8.3000000000000004E-2"/>
    <n v="0.22700000000000001"/>
    <n v="0.189"/>
    <n v="26.145000000000003"/>
    <n v="156.87"/>
    <n v="8.7149999999999999"/>
    <n v="54.480000000000004"/>
    <n v="63.195000000000007"/>
    <n v="1386.0620000000001"/>
    <n v="1449.2570000000001"/>
    <n v="1606.127"/>
  </r>
  <r>
    <x v="52"/>
    <x v="2"/>
    <s v="Rural"/>
    <n v="59857"/>
    <n v="2522"/>
    <n v="12613"/>
    <n v="807"/>
    <n v="1558"/>
    <n v="33498"/>
    <n v="8859"/>
    <n v="48476"/>
    <n v="9.4E-2"/>
    <n v="0.222"/>
    <n v="0.182"/>
    <n v="237.06800000000001"/>
    <n v="1185.6220000000001"/>
    <n v="75.858000000000004"/>
    <n v="345.87599999999998"/>
    <n v="421.73399999999998"/>
    <n v="7436.5560000000005"/>
    <n v="7858.2900000000009"/>
    <n v="9043.9120000000003"/>
  </r>
  <r>
    <x v="53"/>
    <x v="4"/>
    <s v="Rural"/>
    <n v="59401"/>
    <n v="2023"/>
    <n v="11619"/>
    <n v="795"/>
    <n v="1639"/>
    <n v="33071"/>
    <n v="10254"/>
    <n v="47124"/>
    <n v="8.6999999999999994E-2"/>
    <n v="0.20899999999999999"/>
    <n v="0.17299999999999999"/>
    <n v="176.00099999999998"/>
    <n v="1010.853"/>
    <n v="69.164999999999992"/>
    <n v="342.55099999999999"/>
    <n v="411.71600000000001"/>
    <n v="6911.8389999999999"/>
    <n v="7323.5550000000003"/>
    <n v="8334.4079999999994"/>
  </r>
  <r>
    <x v="54"/>
    <x v="6"/>
    <s v="Rural"/>
    <n v="79630"/>
    <n v="2376"/>
    <n v="15304"/>
    <n v="1067"/>
    <n v="1963"/>
    <n v="46825"/>
    <n v="12095"/>
    <n v="65159"/>
    <n v="7.5999999999999998E-2"/>
    <n v="0.20300000000000001"/>
    <n v="0.16800000000000001"/>
    <n v="180.57599999999999"/>
    <n v="1163.104"/>
    <n v="81.091999999999999"/>
    <n v="398.48900000000003"/>
    <n v="479.58100000000002"/>
    <n v="9505.4750000000004"/>
    <n v="9985.0560000000005"/>
    <n v="11148.16"/>
  </r>
  <r>
    <x v="55"/>
    <x v="1"/>
    <s v="Rural"/>
    <n v="34164"/>
    <n v="1000"/>
    <n v="5464"/>
    <n v="381"/>
    <n v="705"/>
    <n v="17714"/>
    <n v="8900"/>
    <n v="24264"/>
    <n v="8.1000000000000003E-2"/>
    <n v="0.19500000000000001"/>
    <n v="0.16400000000000001"/>
    <n v="81"/>
    <n v="442.584"/>
    <n v="30.861000000000001"/>
    <n v="137.47499999999999"/>
    <n v="168.33599999999998"/>
    <n v="3454.23"/>
    <n v="3622.5659999999998"/>
    <n v="4065.1499999999996"/>
  </r>
  <r>
    <x v="56"/>
    <x v="1"/>
    <s v="Rural"/>
    <n v="21472"/>
    <n v="561"/>
    <n v="3503"/>
    <n v="346"/>
    <n v="795"/>
    <n v="12072"/>
    <n v="4195"/>
    <n v="16716"/>
    <n v="7.4999999999999997E-2"/>
    <n v="0.192"/>
    <n v="0.161"/>
    <n v="42.074999999999996"/>
    <n v="262.72499999999997"/>
    <n v="25.95"/>
    <n v="152.64000000000001"/>
    <n v="178.59"/>
    <n v="2317.8240000000001"/>
    <n v="2496.4140000000002"/>
    <n v="2759.1390000000001"/>
  </r>
  <r>
    <x v="57"/>
    <x v="3"/>
    <s v="Rural"/>
    <n v="23870"/>
    <n v="726"/>
    <n v="4318"/>
    <n v="262"/>
    <n v="562"/>
    <n v="13356"/>
    <n v="4646"/>
    <n v="18498"/>
    <n v="8.5000000000000006E-2"/>
    <n v="0.21099999999999999"/>
    <n v="0.17599999999999999"/>
    <n v="61.710000000000008"/>
    <n v="367.03000000000003"/>
    <n v="22.270000000000003"/>
    <n v="118.58199999999999"/>
    <n v="140.852"/>
    <n v="2818.116"/>
    <n v="2958.9679999999998"/>
    <n v="3325.998"/>
  </r>
  <r>
    <x v="58"/>
    <x v="1"/>
    <s v="Rural"/>
    <n v="45359"/>
    <n v="1373"/>
    <n v="8159"/>
    <n v="559"/>
    <n v="990"/>
    <n v="26051"/>
    <n v="8227"/>
    <n v="35759"/>
    <n v="7.8E-2"/>
    <n v="0.189"/>
    <n v="0.159"/>
    <n v="107.09399999999999"/>
    <n v="636.40200000000004"/>
    <n v="43.601999999999997"/>
    <n v="187.11"/>
    <n v="230.71200000000002"/>
    <n v="4923.6390000000001"/>
    <n v="5154.3510000000006"/>
    <n v="5790.7530000000006"/>
  </r>
  <r>
    <x v="59"/>
    <x v="9"/>
    <s v="Urban"/>
    <n v="986516"/>
    <n v="42260"/>
    <n v="200637"/>
    <n v="12269"/>
    <n v="25325"/>
    <n v="609683"/>
    <n v="96342"/>
    <n v="847914"/>
    <n v="8.6999999999999994E-2"/>
    <n v="0.21199999999999999"/>
    <n v="0.17499999999999999"/>
    <n v="3676.62"/>
    <n v="17455.418999999998"/>
    <n v="1067.403"/>
    <n v="5368.9"/>
    <n v="6436.3029999999999"/>
    <n v="129252.796"/>
    <n v="135689.09899999999"/>
    <n v="153144.51799999998"/>
  </r>
  <r>
    <x v="60"/>
    <x v="1"/>
    <s v="Rural"/>
    <n v="15365"/>
    <n v="427"/>
    <n v="2425"/>
    <n v="128"/>
    <n v="314"/>
    <n v="8624"/>
    <n v="3447"/>
    <n v="11491"/>
    <n v="7.5999999999999998E-2"/>
    <n v="0.187"/>
    <n v="0.159"/>
    <n v="32.451999999999998"/>
    <n v="184.29999999999998"/>
    <n v="9.7279999999999998"/>
    <n v="58.717999999999996"/>
    <n v="68.445999999999998"/>
    <n v="1612.6880000000001"/>
    <n v="1681.134"/>
    <n v="1865.434"/>
  </r>
  <r>
    <x v="61"/>
    <x v="2"/>
    <s v="Rural"/>
    <n v="28059"/>
    <n v="999"/>
    <n v="5487"/>
    <n v="409"/>
    <n v="819"/>
    <n v="15380"/>
    <n v="4965"/>
    <n v="22095"/>
    <n v="9.5000000000000001E-2"/>
    <n v="0.22500000000000001"/>
    <n v="0.187"/>
    <n v="94.905000000000001"/>
    <n v="521.26499999999999"/>
    <n v="38.855000000000004"/>
    <n v="184.27500000000001"/>
    <n v="223.13"/>
    <n v="3460.5"/>
    <n v="3683.63"/>
    <n v="4204.8950000000004"/>
  </r>
  <r>
    <x v="62"/>
    <x v="2"/>
    <s v="Rural"/>
    <n v="91879"/>
    <n v="2940"/>
    <n v="16513"/>
    <n v="1078"/>
    <n v="1925"/>
    <n v="47075"/>
    <n v="22348"/>
    <n v="66591"/>
    <n v="0.08"/>
    <n v="0.19500000000000001"/>
    <n v="0.16200000000000001"/>
    <n v="235.20000000000002"/>
    <n v="1321.04"/>
    <n v="86.24"/>
    <n v="375.375"/>
    <n v="461.61500000000001"/>
    <n v="9179.625"/>
    <n v="9641.24"/>
    <n v="10962.279999999999"/>
  </r>
  <r>
    <x v="63"/>
    <x v="4"/>
    <s v="Rural"/>
    <n v="94722"/>
    <n v="3258"/>
    <n v="18360"/>
    <n v="1315"/>
    <n v="2351"/>
    <n v="54654"/>
    <n v="14784"/>
    <n v="76680"/>
    <n v="8.5999999999999993E-2"/>
    <n v="0.20699999999999999"/>
    <n v="0.17199999999999999"/>
    <n v="280.18799999999999"/>
    <n v="1578.9599999999998"/>
    <n v="113.08999999999999"/>
    <n v="486.65699999999998"/>
    <n v="599.74699999999996"/>
    <n v="11313.377999999999"/>
    <n v="11913.124999999998"/>
    <n v="13492.084999999997"/>
  </r>
  <r>
    <x v="64"/>
    <x v="5"/>
    <s v="Urban"/>
    <n v="213785"/>
    <n v="6746"/>
    <n v="34620"/>
    <n v="3454"/>
    <n v="8188"/>
    <n v="128110"/>
    <n v="32667"/>
    <n v="174372"/>
    <n v="7.9000000000000001E-2"/>
    <n v="0.2"/>
    <n v="0.16900000000000001"/>
    <n v="532.93399999999997"/>
    <n v="2734.98"/>
    <n v="272.86599999999999"/>
    <n v="1637.6000000000001"/>
    <n v="1910.4660000000001"/>
    <n v="25622"/>
    <n v="27532.466"/>
    <n v="30267.446"/>
  </r>
  <r>
    <x v="65"/>
    <x v="3"/>
    <s v="Rural"/>
    <n v="21348"/>
    <n v="580"/>
    <n v="3585"/>
    <n v="213"/>
    <n v="493"/>
    <n v="11920"/>
    <n v="4557"/>
    <n v="16211"/>
    <n v="8.5999999999999993E-2"/>
    <n v="0.23100000000000001"/>
    <n v="0.192"/>
    <n v="49.879999999999995"/>
    <n v="308.31"/>
    <n v="18.317999999999998"/>
    <n v="113.88300000000001"/>
    <n v="132.20100000000002"/>
    <n v="2753.52"/>
    <n v="2885.721"/>
    <n v="3194.0309999999999"/>
  </r>
  <r>
    <x v="66"/>
    <x v="5"/>
    <s v="Rural"/>
    <n v="194201"/>
    <n v="13088"/>
    <n v="39636"/>
    <n v="3137"/>
    <n v="11591"/>
    <n v="110790"/>
    <n v="15959"/>
    <n v="165154"/>
    <n v="0.08"/>
    <n v="0.24"/>
    <n v="0.192"/>
    <n v="1047.04"/>
    <n v="3170.88"/>
    <n v="250.96"/>
    <n v="2781.8399999999997"/>
    <n v="3032.7999999999997"/>
    <n v="26589.599999999999"/>
    <n v="29622.399999999998"/>
    <n v="32793.279999999999"/>
  </r>
  <r>
    <x v="67"/>
    <x v="0"/>
    <s v="Urban"/>
    <n v="140723"/>
    <n v="3868"/>
    <n v="24611"/>
    <n v="3058"/>
    <n v="9109"/>
    <n v="84587"/>
    <n v="15490"/>
    <n v="121365"/>
    <n v="8.2000000000000003E-2"/>
    <n v="0.19500000000000001"/>
    <n v="0.16400000000000001"/>
    <n v="317.17599999999999"/>
    <n v="2018.1020000000001"/>
    <n v="250.756"/>
    <n v="1776.2550000000001"/>
    <n v="2027.0110000000002"/>
    <n v="16494.465"/>
    <n v="18521.475999999999"/>
    <n v="20539.577999999998"/>
  </r>
  <r>
    <x v="68"/>
    <x v="3"/>
    <s v="Rural"/>
    <n v="13320"/>
    <n v="302"/>
    <n v="1949"/>
    <n v="124"/>
    <n v="218"/>
    <n v="7441"/>
    <n v="3286"/>
    <n v="9732"/>
    <n v="7.9000000000000001E-2"/>
    <n v="0.20200000000000001"/>
    <n v="0.17199999999999999"/>
    <n v="23.858000000000001"/>
    <n v="153.971"/>
    <n v="9.7959999999999994"/>
    <n v="44.036000000000001"/>
    <n v="53.832000000000001"/>
    <n v="1503.0820000000001"/>
    <n v="1556.9140000000002"/>
    <n v="1710.8850000000002"/>
  </r>
  <r>
    <x v="69"/>
    <x v="3"/>
    <s v="Rural"/>
    <n v="39740"/>
    <n v="1386"/>
    <n v="7578"/>
    <n v="746"/>
    <n v="1568"/>
    <n v="22697"/>
    <n v="5765"/>
    <n v="32589"/>
    <n v="8.2000000000000003E-2"/>
    <n v="0.21099999999999999"/>
    <n v="0.17399999999999999"/>
    <n v="113.652"/>
    <n v="621.39600000000007"/>
    <n v="61.172000000000004"/>
    <n v="330.84800000000001"/>
    <n v="392.02000000000004"/>
    <n v="4789.067"/>
    <n v="5181.0870000000004"/>
    <n v="5802.4830000000002"/>
  </r>
  <r>
    <x v="70"/>
    <x v="5"/>
    <s v="Rural"/>
    <n v="55313"/>
    <n v="1825"/>
    <n v="10092"/>
    <n v="664"/>
    <n v="1422"/>
    <n v="32078"/>
    <n v="9232"/>
    <n v="44256"/>
    <n v="0.08"/>
    <n v="0.222"/>
    <n v="0.182"/>
    <n v="146"/>
    <n v="807.36"/>
    <n v="53.120000000000005"/>
    <n v="315.68400000000003"/>
    <n v="368.80400000000003"/>
    <n v="7121.3159999999998"/>
    <n v="7490.12"/>
    <n v="8297.48"/>
  </r>
  <r>
    <x v="71"/>
    <x v="3"/>
    <s v="Rural"/>
    <n v="13771"/>
    <n v="382"/>
    <n v="2284"/>
    <n v="134"/>
    <n v="330"/>
    <n v="7302"/>
    <n v="3339"/>
    <n v="10050"/>
    <n v="7.6999999999999999E-2"/>
    <n v="0.215"/>
    <n v="0.17799999999999999"/>
    <n v="29.413999999999998"/>
    <n v="175.86799999999999"/>
    <n v="10.318"/>
    <n v="70.95"/>
    <n v="81.268000000000001"/>
    <n v="1569.93"/>
    <n v="1651.1980000000001"/>
    <n v="1827.066"/>
  </r>
  <r>
    <x v="72"/>
    <x v="0"/>
    <s v="Rural"/>
    <n v="39309"/>
    <n v="1233"/>
    <n v="7390"/>
    <n v="452"/>
    <n v="886"/>
    <n v="22799"/>
    <n v="6549"/>
    <n v="31527"/>
    <n v="7.9000000000000001E-2"/>
    <n v="0.20699999999999999"/>
    <n v="0.17100000000000001"/>
    <n v="97.406999999999996"/>
    <n v="583.81000000000006"/>
    <n v="35.707999999999998"/>
    <n v="183.40199999999999"/>
    <n v="219.10999999999999"/>
    <n v="4719.393"/>
    <n v="4938.5029999999997"/>
    <n v="5522.3130000000001"/>
  </r>
  <r>
    <x v="73"/>
    <x v="3"/>
    <s v="Rural"/>
    <n v="174501"/>
    <n v="6447"/>
    <n v="32215"/>
    <n v="3850"/>
    <n v="11148"/>
    <n v="101692"/>
    <n v="19149"/>
    <n v="148905"/>
    <n v="8.5000000000000006E-2"/>
    <n v="0.22"/>
    <n v="0.18099999999999999"/>
    <n v="547.995"/>
    <n v="2738.2750000000001"/>
    <n v="327.25"/>
    <n v="2452.56"/>
    <n v="2779.81"/>
    <n v="22372.240000000002"/>
    <n v="25152.050000000003"/>
    <n v="27890.325000000004"/>
  </r>
  <r>
    <x v="74"/>
    <x v="1"/>
    <s v="Rural"/>
    <n v="20077"/>
    <n v="384"/>
    <n v="3151"/>
    <n v="205"/>
    <n v="402"/>
    <n v="10633"/>
    <n v="5302"/>
    <n v="14391"/>
    <n v="0.08"/>
    <n v="0.186"/>
    <n v="0.159"/>
    <n v="30.72"/>
    <n v="252.08"/>
    <n v="16.399999999999999"/>
    <n v="74.772000000000006"/>
    <n v="91.171999999999997"/>
    <n v="1977.7380000000001"/>
    <n v="2068.91"/>
    <n v="2320.9899999999998"/>
  </r>
  <r>
    <x v="75"/>
    <x v="2"/>
    <s v="Rural"/>
    <n v="142646"/>
    <n v="4875"/>
    <n v="28657"/>
    <n v="1949"/>
    <n v="3998"/>
    <n v="80978"/>
    <n v="22189"/>
    <n v="115582"/>
    <n v="8.3000000000000004E-2"/>
    <n v="0.20499999999999999"/>
    <n v="0.16900000000000001"/>
    <n v="404.625"/>
    <n v="2378.5309999999999"/>
    <n v="161.767"/>
    <n v="819.58999999999992"/>
    <n v="981.35699999999997"/>
    <n v="16600.489999999998"/>
    <n v="17581.846999999998"/>
    <n v="19960.377999999997"/>
  </r>
  <r>
    <x v="76"/>
    <x v="2"/>
    <s v="Rural"/>
    <n v="46253"/>
    <n v="1690"/>
    <n v="9365"/>
    <n v="681"/>
    <n v="1451"/>
    <n v="25905"/>
    <n v="7161"/>
    <n v="37402"/>
    <n v="8.5999999999999993E-2"/>
    <n v="0.22800000000000001"/>
    <n v="0.186"/>
    <n v="145.33999999999997"/>
    <n v="805.39"/>
    <n v="58.565999999999995"/>
    <n v="330.82800000000003"/>
    <n v="389.39400000000001"/>
    <n v="5906.34"/>
    <n v="6295.7340000000004"/>
    <n v="7101.1240000000007"/>
  </r>
  <r>
    <x v="77"/>
    <x v="4"/>
    <s v="Rural"/>
    <n v="134553"/>
    <n v="5555"/>
    <n v="29084"/>
    <n v="2413"/>
    <n v="4983"/>
    <n v="75522"/>
    <n v="16996"/>
    <n v="112002"/>
    <n v="9.8000000000000004E-2"/>
    <n v="0.254"/>
    <n v="0.20300000000000001"/>
    <n v="544.39"/>
    <n v="2850.232"/>
    <n v="236.47400000000002"/>
    <n v="1265.682"/>
    <n v="1502.1559999999999"/>
    <n v="19182.588"/>
    <n v="20684.743999999999"/>
    <n v="23534.975999999999"/>
  </r>
  <r>
    <x v="78"/>
    <x v="8"/>
    <s v="Rural"/>
    <n v="92494"/>
    <n v="2761"/>
    <n v="16778"/>
    <n v="1178"/>
    <n v="2274"/>
    <n v="53113"/>
    <n v="16390"/>
    <n v="73343"/>
    <n v="0.08"/>
    <n v="0.20300000000000001"/>
    <n v="0.17"/>
    <n v="220.88"/>
    <n v="1342.24"/>
    <n v="94.24"/>
    <n v="461.62200000000001"/>
    <n v="555.86199999999997"/>
    <n v="10781.939"/>
    <n v="11337.800999999999"/>
    <n v="12680.040999999999"/>
  </r>
  <r>
    <x v="79"/>
    <x v="0"/>
    <s v="Urban"/>
    <n v="138251"/>
    <n v="4650"/>
    <n v="27084"/>
    <n v="1853"/>
    <n v="3922"/>
    <n v="79282"/>
    <n v="21460"/>
    <n v="112141"/>
    <n v="8.2000000000000003E-2"/>
    <n v="0.20799999999999999"/>
    <n v="0.17199999999999999"/>
    <n v="381.3"/>
    <n v="2220.8879999999999"/>
    <n v="151.946"/>
    <n v="815.77599999999995"/>
    <n v="967.72199999999998"/>
    <n v="16490.655999999999"/>
    <n v="17458.378000000001"/>
    <n v="19679.266"/>
  </r>
  <r>
    <x v="80"/>
    <x v="1"/>
    <s v="Rural"/>
    <n v="68892"/>
    <n v="2118"/>
    <n v="12643"/>
    <n v="924"/>
    <n v="1555"/>
    <n v="38547"/>
    <n v="13105"/>
    <n v="53669"/>
    <n v="7.9000000000000001E-2"/>
    <n v="0.20200000000000001"/>
    <n v="0.16800000000000001"/>
    <n v="167.322"/>
    <n v="998.79700000000003"/>
    <n v="72.995999999999995"/>
    <n v="314.11"/>
    <n v="387.10599999999999"/>
    <n v="7786.4940000000006"/>
    <n v="8173.6"/>
    <n v="9172.3970000000008"/>
  </r>
  <r>
    <x v="81"/>
    <x v="4"/>
    <s v="Rural"/>
    <n v="64673"/>
    <n v="2542"/>
    <n v="13583"/>
    <n v="896"/>
    <n v="1870"/>
    <n v="35806"/>
    <n v="9976"/>
    <n v="52155"/>
    <n v="9.6000000000000002E-2"/>
    <n v="0.26"/>
    <n v="0.21"/>
    <n v="244.03200000000001"/>
    <n v="1303.9680000000001"/>
    <n v="86.016000000000005"/>
    <n v="486.2"/>
    <n v="572.21600000000001"/>
    <n v="9309.56"/>
    <n v="9881.7759999999998"/>
    <n v="11185.744000000001"/>
  </r>
  <r>
    <x v="82"/>
    <x v="4"/>
    <s v="Rural"/>
    <n v="36192"/>
    <n v="1376"/>
    <n v="7404"/>
    <n v="500"/>
    <n v="990"/>
    <n v="20495"/>
    <n v="5427"/>
    <n v="29389"/>
    <n v="8.5000000000000006E-2"/>
    <n v="0.217"/>
    <n v="0.17699999999999999"/>
    <n v="116.96000000000001"/>
    <n v="629.34"/>
    <n v="42.5"/>
    <n v="214.83"/>
    <n v="257.33000000000004"/>
    <n v="4447.415"/>
    <n v="4704.7449999999999"/>
    <n v="5334.085"/>
  </r>
  <r>
    <x v="83"/>
    <x v="0"/>
    <s v="Rural"/>
    <n v="60403"/>
    <n v="1925"/>
    <n v="11202"/>
    <n v="815"/>
    <n v="1646"/>
    <n v="34578"/>
    <n v="10237"/>
    <n v="48241"/>
    <n v="7.4999999999999997E-2"/>
    <n v="0.189"/>
    <n v="0.156"/>
    <n v="144.375"/>
    <n v="840.15"/>
    <n v="61.125"/>
    <n v="311.09399999999999"/>
    <n v="372.21899999999999"/>
    <n v="6535.2420000000002"/>
    <n v="6907.4610000000002"/>
    <n v="7747.6109999999999"/>
  </r>
  <r>
    <x v="84"/>
    <x v="8"/>
    <s v="Rural"/>
    <n v="46859"/>
    <n v="1244"/>
    <n v="8358"/>
    <n v="521"/>
    <n v="1085"/>
    <n v="27325"/>
    <n v="8326"/>
    <n v="37289"/>
    <n v="7.0999999999999994E-2"/>
    <n v="0.2"/>
    <n v="0.16500000000000001"/>
    <n v="88.323999999999998"/>
    <n v="593.41799999999989"/>
    <n v="36.991"/>
    <n v="217"/>
    <n v="253.99099999999999"/>
    <n v="5465"/>
    <n v="5718.991"/>
    <n v="6312.4089999999997"/>
  </r>
  <r>
    <x v="85"/>
    <x v="6"/>
    <s v="Rural"/>
    <n v="73898"/>
    <n v="2367"/>
    <n v="14173"/>
    <n v="1045"/>
    <n v="2053"/>
    <n v="41049"/>
    <n v="13211"/>
    <n v="58320"/>
    <n v="8.4000000000000005E-2"/>
    <n v="0.19700000000000001"/>
    <n v="0.16500000000000001"/>
    <n v="198.828"/>
    <n v="1190.5320000000002"/>
    <n v="87.78"/>
    <n v="404.44100000000003"/>
    <n v="492.221"/>
    <n v="8086.6530000000002"/>
    <n v="8578.8739999999998"/>
    <n v="9769.405999999999"/>
  </r>
  <r>
    <x v="86"/>
    <x v="1"/>
    <s v="Rural"/>
    <n v="14652"/>
    <n v="599"/>
    <n v="2829"/>
    <n v="172"/>
    <n v="326"/>
    <n v="8129"/>
    <n v="2597"/>
    <n v="11456"/>
    <n v="9.4E-2"/>
    <n v="0.218"/>
    <n v="0.18099999999999999"/>
    <n v="56.305999999999997"/>
    <n v="265.92599999999999"/>
    <n v="16.167999999999999"/>
    <n v="71.067999999999998"/>
    <n v="87.23599999999999"/>
    <n v="1772.1220000000001"/>
    <n v="1859.3580000000002"/>
    <n v="2125.2840000000001"/>
  </r>
  <r>
    <x v="87"/>
    <x v="1"/>
    <s v="Rural"/>
    <n v="32971"/>
    <n v="794"/>
    <n v="4881"/>
    <n v="429"/>
    <n v="795"/>
    <n v="16724"/>
    <n v="9348"/>
    <n v="22829"/>
    <n v="7.6999999999999999E-2"/>
    <n v="0.185"/>
    <n v="0.157"/>
    <n v="61.137999999999998"/>
    <n v="375.83699999999999"/>
    <n v="33.033000000000001"/>
    <n v="147.07499999999999"/>
    <n v="180.108"/>
    <n v="3093.94"/>
    <n v="3274.0480000000002"/>
    <n v="3649.8850000000002"/>
  </r>
  <r>
    <x v="88"/>
    <x v="3"/>
    <s v="Rural"/>
    <n v="4157"/>
    <n v="126"/>
    <n v="609"/>
    <n v="32"/>
    <n v="91"/>
    <n v="2534"/>
    <n v="765"/>
    <n v="3266"/>
    <n v="0.09"/>
    <n v="0.26600000000000001"/>
    <n v="0.22500000000000001"/>
    <n v="11.34"/>
    <n v="54.809999999999995"/>
    <n v="2.88"/>
    <n v="24.206000000000003"/>
    <n v="27.086000000000002"/>
    <n v="674.04399999999998"/>
    <n v="701.13"/>
    <n v="755.93999999999994"/>
  </r>
  <r>
    <x v="89"/>
    <x v="0"/>
    <s v="Rural"/>
    <n v="210410"/>
    <n v="7574"/>
    <n v="51984"/>
    <n v="3492"/>
    <n v="5268"/>
    <n v="119020"/>
    <n v="23072"/>
    <n v="179764"/>
    <n v="7.6999999999999999E-2"/>
    <n v="0.21299999999999999"/>
    <n v="0.16600000000000001"/>
    <n v="583.19799999999998"/>
    <n v="4002.768"/>
    <n v="268.88400000000001"/>
    <n v="1122.0840000000001"/>
    <n v="1390.9680000000001"/>
    <n v="25351.26"/>
    <n v="26742.227999999999"/>
    <n v="30744.995999999999"/>
  </r>
  <r>
    <x v="90"/>
    <x v="0"/>
    <s v="Rural"/>
    <n v="45565"/>
    <n v="1761"/>
    <n v="9354"/>
    <n v="604"/>
    <n v="1419"/>
    <n v="25321"/>
    <n v="7106"/>
    <n v="36698"/>
    <n v="9.0999999999999998E-2"/>
    <n v="0.23200000000000001"/>
    <n v="0.188"/>
    <n v="160.251"/>
    <n v="851.21399999999994"/>
    <n v="54.963999999999999"/>
    <n v="329.20800000000003"/>
    <n v="384.17200000000003"/>
    <n v="5874.4720000000007"/>
    <n v="6258.6440000000002"/>
    <n v="7109.8580000000002"/>
  </r>
  <r>
    <x v="91"/>
    <x v="7"/>
    <s v="Urban"/>
    <n v="966424"/>
    <n v="38262"/>
    <n v="205774"/>
    <n v="12977"/>
    <n v="25467"/>
    <n v="590105"/>
    <n v="93839"/>
    <n v="834323"/>
    <n v="8.1000000000000003E-2"/>
    <n v="0.19700000000000001"/>
    <n v="0.16200000000000001"/>
    <n v="3099.2220000000002"/>
    <n v="16667.694"/>
    <n v="1051.1369999999999"/>
    <n v="5016.9989999999998"/>
    <n v="6068.1359999999995"/>
    <n v="116250.68500000001"/>
    <n v="122318.82100000001"/>
    <n v="138986.51500000001"/>
  </r>
  <r>
    <x v="92"/>
    <x v="0"/>
    <s v="Rural"/>
    <n v="20668"/>
    <n v="544"/>
    <n v="3400"/>
    <n v="231"/>
    <n v="460"/>
    <n v="11674"/>
    <n v="4359"/>
    <n v="15765"/>
    <n v="8.8999999999999996E-2"/>
    <n v="0.252"/>
    <n v="0.20899999999999999"/>
    <n v="48.415999999999997"/>
    <n v="302.59999999999997"/>
    <n v="20.558999999999997"/>
    <n v="115.92"/>
    <n v="136.47899999999998"/>
    <n v="2941.848"/>
    <n v="3078.3269999999998"/>
    <n v="3380.9269999999997"/>
  </r>
  <r>
    <x v="93"/>
    <x v="3"/>
    <s v="Rural"/>
    <n v="12914"/>
    <n v="403"/>
    <n v="2461"/>
    <n v="124"/>
    <n v="274"/>
    <n v="7060"/>
    <n v="2592"/>
    <n v="9919"/>
    <n v="8.7999999999999995E-2"/>
    <n v="0.221"/>
    <n v="0.183"/>
    <n v="35.463999999999999"/>
    <n v="216.56799999999998"/>
    <n v="10.911999999999999"/>
    <n v="60.554000000000002"/>
    <n v="71.466000000000008"/>
    <n v="1560.26"/>
    <n v="1631.7260000000001"/>
    <n v="1848.2940000000001"/>
  </r>
  <r>
    <x v="94"/>
    <x v="1"/>
    <s v="Rural"/>
    <n v="52953"/>
    <n v="1055"/>
    <n v="5933"/>
    <n v="1798"/>
    <n v="6765"/>
    <n v="30052"/>
    <n v="7350"/>
    <n v="44548"/>
    <n v="8.1000000000000003E-2"/>
    <n v="0.218"/>
    <n v="0.186"/>
    <n v="85.454999999999998"/>
    <n v="480.57300000000004"/>
    <n v="145.63800000000001"/>
    <n v="1474.77"/>
    <n v="1620.4079999999999"/>
    <n v="6551.3360000000002"/>
    <n v="8171.7440000000006"/>
    <n v="8652.3170000000009"/>
  </r>
  <r>
    <x v="95"/>
    <x v="4"/>
    <s v="Rural"/>
    <n v="126287"/>
    <n v="5187"/>
    <n v="25668"/>
    <n v="1686"/>
    <n v="3586"/>
    <n v="72406"/>
    <n v="17754"/>
    <n v="103346"/>
    <n v="8.7999999999999995E-2"/>
    <n v="0.22600000000000001"/>
    <n v="0.185"/>
    <n v="456.45599999999996"/>
    <n v="2258.7839999999997"/>
    <n v="148.36799999999999"/>
    <n v="810.43600000000004"/>
    <n v="958.80400000000009"/>
    <n v="16363.756000000001"/>
    <n v="17322.560000000001"/>
    <n v="19581.344000000001"/>
  </r>
  <r>
    <x v="96"/>
    <x v="1"/>
    <s v="Rural"/>
    <n v="70076"/>
    <n v="2076"/>
    <n v="12920"/>
    <n v="877"/>
    <n v="1602"/>
    <n v="39428"/>
    <n v="13173"/>
    <n v="54827"/>
    <n v="7.6999999999999999E-2"/>
    <n v="0.192"/>
    <n v="0.16"/>
    <n v="159.852"/>
    <n v="994.84"/>
    <n v="67.528999999999996"/>
    <n v="307.584"/>
    <n v="375.113"/>
    <n v="7570.1760000000004"/>
    <n v="7945.2890000000007"/>
    <n v="8940.1290000000008"/>
  </r>
  <r>
    <x v="97"/>
    <x v="4"/>
    <s v="Rural"/>
    <n v="82433"/>
    <n v="2969"/>
    <n v="16677"/>
    <n v="1060"/>
    <n v="2150"/>
    <n v="46744"/>
    <n v="12833"/>
    <n v="66631"/>
    <n v="0.09"/>
    <n v="0.221"/>
    <n v="0.18099999999999999"/>
    <n v="267.20999999999998"/>
    <n v="1500.9299999999998"/>
    <n v="95.399999999999991"/>
    <n v="475.15"/>
    <n v="570.54999999999995"/>
    <n v="10330.424000000001"/>
    <n v="10900.974"/>
    <n v="12401.904"/>
  </r>
  <r>
    <x v="98"/>
    <x v="6"/>
    <s v="Rural"/>
    <n v="38160"/>
    <n v="1234"/>
    <n v="7236"/>
    <n v="470"/>
    <n v="986"/>
    <n v="21525"/>
    <n v="6709"/>
    <n v="30217"/>
    <n v="8.3000000000000004E-2"/>
    <n v="0.20899999999999999"/>
    <n v="0.17299999999999999"/>
    <n v="102.42200000000001"/>
    <n v="600.58800000000008"/>
    <n v="39.010000000000005"/>
    <n v="206.07399999999998"/>
    <n v="245.084"/>
    <n v="4498.7249999999995"/>
    <n v="4743.8089999999993"/>
    <n v="5344.396999999999"/>
  </r>
  <r>
    <x v="99"/>
    <x v="1"/>
    <s v="Rural"/>
    <n v="17877"/>
    <n v="521"/>
    <n v="2916"/>
    <n v="172"/>
    <n v="388"/>
    <n v="9880"/>
    <n v="4000"/>
    <n v="13356"/>
    <n v="7.9000000000000001E-2"/>
    <n v="0.19900000000000001"/>
    <n v="0.16800000000000001"/>
    <n v="41.158999999999999"/>
    <n v="230.364"/>
    <n v="13.588000000000001"/>
    <n v="77.212000000000003"/>
    <n v="90.800000000000011"/>
    <n v="1966.1200000000001"/>
    <n v="2056.92"/>
    <n v="2287.2840000000001"/>
  </r>
  <r>
    <x v="100"/>
    <x v="10"/>
    <m/>
    <m/>
    <m/>
    <m/>
    <m/>
    <m/>
    <m/>
    <m/>
    <m/>
    <s v="Calculated based on July 2011 Population"/>
    <m/>
    <m/>
    <m/>
    <m/>
    <m/>
    <m/>
    <m/>
    <m/>
    <m/>
    <m/>
  </r>
  <r>
    <x v="101"/>
    <x v="11"/>
    <m/>
    <n v="9873948"/>
    <n v="365208"/>
    <n v="1930215"/>
    <n v="137577"/>
    <n v="297776"/>
    <n v="5740125"/>
    <n v="1403047"/>
    <n v="8105693"/>
    <n v="9.2861228007293517E-2"/>
    <n v="0.22359886796611902"/>
    <n v="0.188150584549657"/>
    <n v="30562.660999999996"/>
    <n v="161025.07800000001"/>
    <n v="11469.267"/>
    <n v="62621.282999999967"/>
    <n v="74090.550000000017"/>
    <n v="1199611.8020000004"/>
    <n v="1273702.352"/>
    <n v="1434727.4300000004"/>
  </r>
</pivotCacheRecords>
</file>

<file path=xl/pivotCache/pivotCacheRecords2.xml><?xml version="1.0" encoding="utf-8"?>
<pivotCacheRecords xmlns="http://schemas.openxmlformats.org/spreadsheetml/2006/main" xmlns:r="http://schemas.openxmlformats.org/officeDocument/2006/relationships" count="102">
  <r>
    <x v="0"/>
    <x v="0"/>
    <s v="Urban"/>
    <n v="154256"/>
    <n v="5250"/>
    <n v="29771"/>
    <n v="2362"/>
    <n v="5400"/>
    <n v="87003"/>
    <n v="24470"/>
    <n v="124536"/>
    <n v="8.7999999999999995E-2"/>
    <n v="0.21299999999999999"/>
    <n v="0.17599999999999999"/>
    <n v="462"/>
    <n v="2619.848"/>
    <n v="207.85599999999999"/>
    <n v="1150.2"/>
    <n v="1358.056"/>
    <n v="18531.638999999999"/>
    <n v="19889.695"/>
    <n v="22509.542999999998"/>
  </r>
  <r>
    <x v="1"/>
    <x v="1"/>
    <s v="Rural"/>
    <n v="37429"/>
    <n v="1088"/>
    <n v="6766"/>
    <n v="459"/>
    <n v="873"/>
    <n v="21567"/>
    <n v="6676"/>
    <n v="29665"/>
    <n v="7.5999999999999998E-2"/>
    <n v="0.19500000000000001"/>
    <n v="0.16200000000000001"/>
    <n v="82.688000000000002"/>
    <n v="514.21600000000001"/>
    <n v="34.884"/>
    <n v="170.23500000000001"/>
    <n v="205.11900000000003"/>
    <n v="4205.5650000000005"/>
    <n v="4410.6840000000002"/>
    <n v="4924.9000000000005"/>
  </r>
  <r>
    <x v="2"/>
    <x v="1"/>
    <s v="Rural"/>
    <n v="11033"/>
    <n v="255"/>
    <n v="1754"/>
    <n v="143"/>
    <n v="244"/>
    <n v="6013"/>
    <n v="2624"/>
    <n v="8154"/>
    <n v="8.6999999999999994E-2"/>
    <n v="0.216"/>
    <n v="0.182"/>
    <n v="22.184999999999999"/>
    <n v="152.59799999999998"/>
    <n v="12.440999999999999"/>
    <n v="52.704000000000001"/>
    <n v="65.144999999999996"/>
    <n v="1298.808"/>
    <n v="1363.953"/>
    <n v="1516.5509999999999"/>
  </r>
  <r>
    <x v="3"/>
    <x v="2"/>
    <s v="Rural"/>
    <n v="26429"/>
    <n v="762"/>
    <n v="4725"/>
    <n v="303"/>
    <n v="707"/>
    <n v="15692"/>
    <n v="4240"/>
    <n v="21427"/>
    <n v="8.5000000000000006E-2"/>
    <n v="0.23100000000000001"/>
    <n v="0.192"/>
    <n v="64.77000000000001"/>
    <n v="401.62500000000006"/>
    <n v="25.755000000000003"/>
    <n v="163.31700000000001"/>
    <n v="189.072"/>
    <n v="3624.8520000000003"/>
    <n v="3813.9240000000004"/>
    <n v="4215.5490000000009"/>
  </r>
  <r>
    <x v="4"/>
    <x v="1"/>
    <s v="Rural"/>
    <n v="27425"/>
    <n v="744"/>
    <n v="4430"/>
    <n v="314"/>
    <n v="520"/>
    <n v="15130"/>
    <n v="6287"/>
    <n v="20394"/>
    <n v="7.5999999999999998E-2"/>
    <n v="0.19700000000000001"/>
    <n v="0.16700000000000001"/>
    <n v="56.543999999999997"/>
    <n v="336.68"/>
    <n v="23.864000000000001"/>
    <n v="102.44"/>
    <n v="126.304"/>
    <n v="2980.61"/>
    <n v="3106.9140000000002"/>
    <n v="3443.5940000000001"/>
  </r>
  <r>
    <x v="5"/>
    <x v="1"/>
    <s v="Rural"/>
    <n v="17868"/>
    <n v="434"/>
    <n v="2439"/>
    <n v="179"/>
    <n v="441"/>
    <n v="10817"/>
    <n v="3558"/>
    <n v="13876"/>
    <n v="8.2000000000000003E-2"/>
    <n v="0.21099999999999999"/>
    <n v="0.182"/>
    <n v="35.588000000000001"/>
    <n v="199.99800000000002"/>
    <n v="14.678000000000001"/>
    <n v="93.051000000000002"/>
    <n v="107.729"/>
    <n v="2282.3869999999997"/>
    <n v="2390.1159999999995"/>
    <n v="2590.1139999999996"/>
  </r>
  <r>
    <x v="6"/>
    <x v="3"/>
    <s v="Rural"/>
    <n v="47791"/>
    <n v="1468"/>
    <n v="8664"/>
    <n v="570"/>
    <n v="975"/>
    <n v="25800"/>
    <n v="10314"/>
    <n v="36009"/>
    <n v="8.5000000000000006E-2"/>
    <n v="0.20300000000000001"/>
    <n v="0.17"/>
    <n v="124.78000000000002"/>
    <n v="736.44"/>
    <n v="48.45"/>
    <n v="197.92500000000001"/>
    <n v="246.375"/>
    <n v="5237.4000000000005"/>
    <n v="5483.7750000000005"/>
    <n v="6220.2150000000001"/>
  </r>
  <r>
    <x v="7"/>
    <x v="3"/>
    <s v="Rural"/>
    <n v="20581"/>
    <n v="552"/>
    <n v="3462"/>
    <n v="265"/>
    <n v="472"/>
    <n v="12062"/>
    <n v="3768"/>
    <n v="16261"/>
    <n v="8.6999999999999994E-2"/>
    <n v="0.248"/>
    <n v="0.20599999999999999"/>
    <n v="48.023999999999994"/>
    <n v="301.19399999999996"/>
    <n v="23.055"/>
    <n v="117.056"/>
    <n v="140.11099999999999"/>
    <n v="2991.3760000000002"/>
    <n v="3131.4870000000001"/>
    <n v="3432.681"/>
  </r>
  <r>
    <x v="8"/>
    <x v="4"/>
    <s v="Rural"/>
    <n v="35250"/>
    <n v="1070"/>
    <n v="6544"/>
    <n v="452"/>
    <n v="874"/>
    <n v="19944"/>
    <n v="6366"/>
    <n v="27814"/>
    <n v="8.5999999999999993E-2"/>
    <n v="0.21199999999999999"/>
    <n v="0.17699999999999999"/>
    <n v="92.02"/>
    <n v="562.78399999999999"/>
    <n v="38.872"/>
    <n v="185.28799999999998"/>
    <n v="224.15999999999997"/>
    <n v="4228.1279999999997"/>
    <n v="4452.2879999999996"/>
    <n v="5015.0719999999992"/>
  </r>
  <r>
    <x v="9"/>
    <x v="5"/>
    <s v="Rural"/>
    <n v="118634"/>
    <n v="3114"/>
    <n v="18007"/>
    <n v="1047"/>
    <n v="1990"/>
    <n v="63008"/>
    <n v="31468"/>
    <n v="84052"/>
    <n v="7.8E-2"/>
    <n v="0.2"/>
    <n v="0.17"/>
    <n v="242.892"/>
    <n v="1404.546"/>
    <n v="81.665999999999997"/>
    <n v="398"/>
    <n v="479.666"/>
    <n v="12601.6"/>
    <n v="13081.266"/>
    <n v="14485.812"/>
  </r>
  <r>
    <x v="10"/>
    <x v="1"/>
    <s v="Urban"/>
    <n v="251995"/>
    <n v="7860"/>
    <n v="41648"/>
    <n v="2776"/>
    <n v="5859"/>
    <n v="148675"/>
    <n v="45177"/>
    <n v="198958"/>
    <n v="7.6999999999999999E-2"/>
    <n v="0.185"/>
    <n v="0.158"/>
    <n v="605.22"/>
    <n v="3206.8960000000002"/>
    <n v="213.75200000000001"/>
    <n v="1083.915"/>
    <n v="1297.6669999999999"/>
    <n v="27504.875"/>
    <n v="28802.542000000001"/>
    <n v="32009.438000000002"/>
  </r>
  <r>
    <x v="11"/>
    <x v="6"/>
    <s v="Rural"/>
    <n v="89184"/>
    <n v="2545"/>
    <n v="16036"/>
    <n v="1646"/>
    <n v="2917"/>
    <n v="49880"/>
    <n v="16160"/>
    <n v="70479"/>
    <n v="0.08"/>
    <n v="0.187"/>
    <n v="0.156"/>
    <n v="203.6"/>
    <n v="1282.8800000000001"/>
    <n v="131.68"/>
    <n v="545.47900000000004"/>
    <n v="677.15900000000011"/>
    <n v="9327.56"/>
    <n v="10004.718999999999"/>
    <n v="11287.598999999998"/>
  </r>
  <r>
    <x v="12"/>
    <x v="0"/>
    <s v="Urban"/>
    <n v="189528"/>
    <n v="6974"/>
    <n v="41883"/>
    <n v="2531"/>
    <n v="4967"/>
    <n v="109584"/>
    <n v="23589"/>
    <n v="158965"/>
    <n v="8.1000000000000003E-2"/>
    <n v="0.20899999999999999"/>
    <n v="0.16800000000000001"/>
    <n v="564.89400000000001"/>
    <n v="3392.5230000000001"/>
    <n v="205.011"/>
    <n v="1038.1030000000001"/>
    <n v="1243.114"/>
    <n v="22903.056"/>
    <n v="24146.170000000002"/>
    <n v="27538.693000000003"/>
  </r>
  <r>
    <x v="13"/>
    <x v="1"/>
    <s v="Rural"/>
    <n v="82405"/>
    <n v="2371"/>
    <n v="14956"/>
    <n v="1093"/>
    <n v="2268"/>
    <n v="47225"/>
    <n v="14492"/>
    <n v="65542"/>
    <n v="7.6999999999999999E-2"/>
    <n v="0.186"/>
    <n v="0.156"/>
    <n v="182.56700000000001"/>
    <n v="1151.6120000000001"/>
    <n v="84.161000000000001"/>
    <n v="421.84800000000001"/>
    <n v="506.00900000000001"/>
    <n v="8783.85"/>
    <n v="9289.8590000000004"/>
    <n v="10441.471000000001"/>
  </r>
  <r>
    <x v="14"/>
    <x v="3"/>
    <s v="Rural"/>
    <n v="10092"/>
    <n v="246"/>
    <n v="1971"/>
    <n v="130"/>
    <n v="255"/>
    <n v="5967"/>
    <n v="1523"/>
    <n v="8323"/>
    <n v="6.8000000000000005E-2"/>
    <n v="0.19500000000000001"/>
    <n v="0.156"/>
    <n v="16.728000000000002"/>
    <n v="134.02800000000002"/>
    <n v="8.84"/>
    <n v="49.725000000000001"/>
    <n v="58.564999999999998"/>
    <n v="1163.5650000000001"/>
    <n v="1222.1300000000001"/>
    <n v="1356.1580000000001"/>
  </r>
  <r>
    <x v="15"/>
    <x v="5"/>
    <s v="Rural"/>
    <n v="70101"/>
    <n v="1890"/>
    <n v="10702"/>
    <n v="765"/>
    <n v="1464"/>
    <n v="40010"/>
    <n v="15270"/>
    <n v="52941"/>
    <n v="7.3999999999999996E-2"/>
    <n v="0.188"/>
    <n v="0.161"/>
    <n v="139.85999999999999"/>
    <n v="791.94799999999998"/>
    <n v="56.61"/>
    <n v="275.23200000000003"/>
    <n v="331.84200000000004"/>
    <n v="7521.88"/>
    <n v="7853.7219999999998"/>
    <n v="8645.67"/>
  </r>
  <r>
    <x v="16"/>
    <x v="0"/>
    <s v="Rural"/>
    <n v="23708"/>
    <n v="612"/>
    <n v="3870"/>
    <n v="229"/>
    <n v="521"/>
    <n v="14106"/>
    <n v="4370"/>
    <n v="18726"/>
    <n v="8.1000000000000003E-2"/>
    <n v="0.23200000000000001"/>
    <n v="0.19400000000000001"/>
    <n v="49.572000000000003"/>
    <n v="313.47000000000003"/>
    <n v="18.548999999999999"/>
    <n v="120.872"/>
    <n v="139.42099999999999"/>
    <n v="3272.5920000000001"/>
    <n v="3412.0129999999999"/>
    <n v="3725.4830000000002"/>
  </r>
  <r>
    <x v="17"/>
    <x v="6"/>
    <s v="Urban"/>
    <n v="155545"/>
    <n v="5256"/>
    <n v="30145"/>
    <n v="2102"/>
    <n v="4251"/>
    <n v="88905"/>
    <n v="24886"/>
    <n v="125403"/>
    <n v="7.9000000000000001E-2"/>
    <n v="0.17499999999999999"/>
    <n v="0.14699999999999999"/>
    <n v="415.22399999999999"/>
    <n v="2381.4549999999999"/>
    <n v="166.05799999999999"/>
    <n v="743.92499999999995"/>
    <n v="909.98299999999995"/>
    <n v="15558.374999999998"/>
    <n v="16468.357999999997"/>
    <n v="18849.812999999995"/>
  </r>
  <r>
    <x v="18"/>
    <x v="0"/>
    <s v="Rural"/>
    <n v="68770"/>
    <n v="1889"/>
    <n v="12029"/>
    <n v="721"/>
    <n v="1342"/>
    <n v="37666"/>
    <n v="15123"/>
    <n v="51758"/>
    <n v="8.8999999999999996E-2"/>
    <n v="0.22500000000000001"/>
    <n v="0.188"/>
    <n v="168.12099999999998"/>
    <n v="1070.5809999999999"/>
    <n v="64.168999999999997"/>
    <n v="301.95"/>
    <n v="366.11899999999997"/>
    <n v="8474.85"/>
    <n v="8840.969000000001"/>
    <n v="9911.5500000000011"/>
  </r>
  <r>
    <x v="19"/>
    <x v="1"/>
    <s v="Rural"/>
    <n v="27060"/>
    <n v="571"/>
    <n v="4249"/>
    <n v="306"/>
    <n v="551"/>
    <n v="14102"/>
    <n v="7281"/>
    <n v="19208"/>
    <n v="7.9000000000000001E-2"/>
    <n v="0.17199999999999999"/>
    <n v="0.14799999999999999"/>
    <n v="45.109000000000002"/>
    <n v="335.67099999999999"/>
    <n v="24.173999999999999"/>
    <n v="94.771999999999991"/>
    <n v="118.946"/>
    <n v="2425.5439999999999"/>
    <n v="2544.4899999999998"/>
    <n v="2880.1609999999996"/>
  </r>
  <r>
    <x v="20"/>
    <x v="3"/>
    <s v="Rural"/>
    <n v="14839"/>
    <n v="466"/>
    <n v="2681"/>
    <n v="193"/>
    <n v="330"/>
    <n v="7925"/>
    <n v="3244"/>
    <n v="11129"/>
    <n v="8.2000000000000003E-2"/>
    <n v="0.20599999999999999"/>
    <n v="0.17"/>
    <n v="38.212000000000003"/>
    <n v="219.84200000000001"/>
    <n v="15.826000000000001"/>
    <n v="67.97999999999999"/>
    <n v="83.805999999999983"/>
    <n v="1632.55"/>
    <n v="1716.356"/>
    <n v="1936.1980000000001"/>
  </r>
  <r>
    <x v="21"/>
    <x v="1"/>
    <s v="Rural"/>
    <n v="10621"/>
    <n v="199"/>
    <n v="1625"/>
    <n v="121"/>
    <n v="198"/>
    <n v="5515"/>
    <n v="2963"/>
    <n v="7459"/>
    <n v="7.5999999999999998E-2"/>
    <n v="0.187"/>
    <n v="0.16"/>
    <n v="15.123999999999999"/>
    <n v="123.5"/>
    <n v="9.1959999999999997"/>
    <n v="37.026000000000003"/>
    <n v="46.222000000000001"/>
    <n v="1031.3050000000001"/>
    <n v="1077.527"/>
    <n v="1201.027"/>
  </r>
  <r>
    <x v="22"/>
    <x v="6"/>
    <s v="Rural"/>
    <n v="97245"/>
    <n v="3144"/>
    <n v="18366"/>
    <n v="1458"/>
    <n v="2959"/>
    <n v="54819"/>
    <n v="16499"/>
    <n v="77602"/>
    <n v="7.9000000000000001E-2"/>
    <n v="0.193"/>
    <n v="0.16"/>
    <n v="248.376"/>
    <n v="1450.914"/>
    <n v="115.182"/>
    <n v="571.08699999999999"/>
    <n v="686.26900000000001"/>
    <n v="10580.067000000001"/>
    <n v="11266.336000000001"/>
    <n v="12717.250000000002"/>
  </r>
  <r>
    <x v="23"/>
    <x v="4"/>
    <s v="Rural"/>
    <n v="57376"/>
    <n v="1775"/>
    <n v="10855"/>
    <n v="787"/>
    <n v="1493"/>
    <n v="32515"/>
    <n v="9951"/>
    <n v="45650"/>
    <n v="8.5000000000000006E-2"/>
    <n v="0.222"/>
    <n v="0.183"/>
    <n v="150.875"/>
    <n v="922.67500000000007"/>
    <n v="66.89500000000001"/>
    <n v="331.44600000000003"/>
    <n v="398.34100000000001"/>
    <n v="7218.33"/>
    <n v="7616.6710000000003"/>
    <n v="8539.3459999999995"/>
  </r>
  <r>
    <x v="24"/>
    <x v="3"/>
    <s v="Rural"/>
    <n v="104288"/>
    <n v="4666"/>
    <n v="20981"/>
    <n v="1235"/>
    <n v="3506"/>
    <n v="56727"/>
    <n v="17173"/>
    <n v="82449"/>
    <n v="0.08"/>
    <n v="0.20200000000000001"/>
    <n v="0.16600000000000001"/>
    <n v="373.28000000000003"/>
    <n v="1678.48"/>
    <n v="98.8"/>
    <n v="708.21199999999999"/>
    <n v="807.01199999999994"/>
    <n v="11458.854000000001"/>
    <n v="12265.866000000002"/>
    <n v="13944.346000000001"/>
  </r>
  <r>
    <x v="25"/>
    <x v="7"/>
    <s v="Urban"/>
    <n v="334466"/>
    <n v="16582"/>
    <n v="72833"/>
    <n v="4351"/>
    <n v="11340"/>
    <n v="193061"/>
    <n v="36299"/>
    <n v="281585"/>
    <n v="8.5999999999999993E-2"/>
    <n v="0.22800000000000001"/>
    <n v="0.184"/>
    <n v="1426.0519999999999"/>
    <n v="6263.6379999999999"/>
    <n v="374.18599999999998"/>
    <n v="2585.52"/>
    <n v="2959.7060000000001"/>
    <n v="44017.908000000003"/>
    <n v="46977.614000000001"/>
    <n v="53241.252"/>
  </r>
  <r>
    <x v="26"/>
    <x v="3"/>
    <s v="Rural"/>
    <n v="24055"/>
    <n v="571"/>
    <n v="4474"/>
    <n v="322"/>
    <n v="610"/>
    <n v="14465"/>
    <n v="3613"/>
    <n v="19871"/>
    <n v="7.0000000000000007E-2"/>
    <n v="0.19800000000000001"/>
    <n v="0.16200000000000001"/>
    <n v="39.970000000000006"/>
    <n v="313.18"/>
    <n v="22.540000000000003"/>
    <n v="120.78"/>
    <n v="143.32"/>
    <n v="2864.07"/>
    <n v="3007.3900000000003"/>
    <n v="3320.57"/>
  </r>
  <r>
    <x v="27"/>
    <x v="3"/>
    <s v="Rural"/>
    <n v="35471"/>
    <n v="1083"/>
    <n v="5746"/>
    <n v="339"/>
    <n v="579"/>
    <n v="21198"/>
    <n v="6526"/>
    <n v="27862"/>
    <n v="7.8E-2"/>
    <n v="0.182"/>
    <n v="0.157"/>
    <n v="84.474000000000004"/>
    <n v="448.18799999999999"/>
    <n v="26.442"/>
    <n v="105.378"/>
    <n v="131.82"/>
    <n v="3858.0360000000001"/>
    <n v="3989.8560000000002"/>
    <n v="4438.0439999999999"/>
  </r>
  <r>
    <x v="28"/>
    <x v="0"/>
    <s v="Urban"/>
    <n v="164110"/>
    <n v="5151"/>
    <n v="31783"/>
    <n v="1884"/>
    <n v="3922"/>
    <n v="94532"/>
    <n v="26838"/>
    <n v="132121"/>
    <n v="7.8E-2"/>
    <n v="0.20499999999999999"/>
    <n v="0.16900000000000001"/>
    <n v="401.77800000000002"/>
    <n v="2479.0740000000001"/>
    <n v="146.952"/>
    <n v="804.01"/>
    <n v="950.96199999999999"/>
    <n v="19379.059999999998"/>
    <n v="20330.021999999997"/>
    <n v="22809.095999999998"/>
  </r>
  <r>
    <x v="29"/>
    <x v="8"/>
    <s v="Rural"/>
    <n v="41647"/>
    <n v="1195"/>
    <n v="7740"/>
    <n v="582"/>
    <n v="952"/>
    <n v="23413"/>
    <n v="7765"/>
    <n v="32687"/>
    <n v="7.5999999999999998E-2"/>
    <n v="0.19800000000000001"/>
    <n v="0.16300000000000001"/>
    <n v="90.82"/>
    <n v="588.24"/>
    <n v="44.231999999999999"/>
    <n v="188.49600000000001"/>
    <n v="232.72800000000001"/>
    <n v="4635.7740000000003"/>
    <n v="4868.5020000000004"/>
    <n v="5456.7420000000002"/>
  </r>
  <r>
    <x v="30"/>
    <x v="4"/>
    <s v="Rural"/>
    <n v="60453"/>
    <n v="2260"/>
    <n v="12585"/>
    <n v="801"/>
    <n v="1523"/>
    <n v="33466"/>
    <n v="9818"/>
    <n v="48375"/>
    <n v="0.1"/>
    <n v="0.26700000000000002"/>
    <n v="0.216"/>
    <n v="226"/>
    <n v="1258.5"/>
    <n v="80.100000000000009"/>
    <n v="406.64100000000002"/>
    <n v="486.74100000000004"/>
    <n v="8935.4220000000005"/>
    <n v="9422.1630000000005"/>
    <n v="10680.663"/>
  </r>
  <r>
    <x v="31"/>
    <x v="7"/>
    <s v="Urban"/>
    <n v="291413"/>
    <n v="12769"/>
    <n v="54262"/>
    <n v="4015"/>
    <n v="9915"/>
    <n v="178175"/>
    <n v="32277"/>
    <n v="246367"/>
    <n v="9.0999999999999998E-2"/>
    <n v="0.215"/>
    <n v="0.18099999999999999"/>
    <n v="1161.979"/>
    <n v="4937.8419999999996"/>
    <n v="365.36500000000001"/>
    <n v="2131.7249999999999"/>
    <n v="2497.09"/>
    <n v="38307.625"/>
    <n v="40804.714999999997"/>
    <n v="45742.556999999993"/>
  </r>
  <r>
    <x v="32"/>
    <x v="4"/>
    <s v="Rural"/>
    <n v="55735"/>
    <n v="1889"/>
    <n v="11061"/>
    <n v="783"/>
    <n v="1516"/>
    <n v="31210"/>
    <n v="9276"/>
    <n v="44570"/>
    <n v="8.7999999999999995E-2"/>
    <n v="0.222"/>
    <n v="0.182"/>
    <n v="166.232"/>
    <n v="973.36799999999994"/>
    <n v="68.903999999999996"/>
    <n v="336.55200000000002"/>
    <n v="405.45600000000002"/>
    <n v="6928.62"/>
    <n v="7334.076"/>
    <n v="8307.4439999999995"/>
  </r>
  <r>
    <x v="33"/>
    <x v="8"/>
    <s v="Urban"/>
    <n v="363211"/>
    <n v="13669"/>
    <n v="72775"/>
    <n v="4772"/>
    <n v="9984"/>
    <n v="209664"/>
    <n v="52347"/>
    <n v="297195"/>
    <n v="8.8999999999999996E-2"/>
    <n v="0.20300000000000001"/>
    <n v="0.16900000000000001"/>
    <n v="1216.5409999999999"/>
    <n v="6476.9749999999995"/>
    <n v="424.70799999999997"/>
    <n v="2026.7520000000002"/>
    <n v="2451.46"/>
    <n v="42561.792000000001"/>
    <n v="45013.252"/>
    <n v="51490.226999999999"/>
  </r>
  <r>
    <x v="34"/>
    <x v="0"/>
    <s v="Rural"/>
    <n v="63496"/>
    <n v="2018"/>
    <n v="12618"/>
    <n v="876"/>
    <n v="1554"/>
    <n v="36950"/>
    <n v="9480"/>
    <n v="51998"/>
    <n v="8.4000000000000005E-2"/>
    <n v="0.23"/>
    <n v="0.187"/>
    <n v="169.512"/>
    <n v="1059.912"/>
    <n v="73.584000000000003"/>
    <n v="357.42"/>
    <n v="431.00400000000002"/>
    <n v="8498.5"/>
    <n v="8929.5040000000008"/>
    <n v="9989.4160000000011"/>
  </r>
  <r>
    <x v="35"/>
    <x v="6"/>
    <s v="Urban"/>
    <n v="210980"/>
    <n v="7429"/>
    <n v="41214"/>
    <n v="2831"/>
    <n v="5483"/>
    <n v="122842"/>
    <n v="31181"/>
    <n v="172370"/>
    <n v="0.08"/>
    <n v="0.20300000000000001"/>
    <n v="0.16800000000000001"/>
    <n v="594.32000000000005"/>
    <n v="3297.12"/>
    <n v="226.48000000000002"/>
    <n v="1113.049"/>
    <n v="1339.529"/>
    <n v="24936.926000000003"/>
    <n v="26276.455000000002"/>
    <n v="29573.575000000001"/>
  </r>
  <r>
    <x v="36"/>
    <x v="3"/>
    <s v="Rural"/>
    <n v="11263"/>
    <n v="253"/>
    <n v="1965"/>
    <n v="148"/>
    <n v="364"/>
    <n v="6509"/>
    <n v="2024"/>
    <n v="8986"/>
    <n v="7.6999999999999999E-2"/>
    <n v="0.22800000000000001"/>
    <n v="0.185"/>
    <n v="19.480999999999998"/>
    <n v="151.30500000000001"/>
    <n v="11.395999999999999"/>
    <n v="82.992000000000004"/>
    <n v="94.388000000000005"/>
    <n v="1484.0520000000001"/>
    <n v="1578.44"/>
    <n v="1729.7450000000001"/>
  </r>
  <r>
    <x v="37"/>
    <x v="1"/>
    <s v="Rural"/>
    <n v="8979"/>
    <n v="271"/>
    <n v="1607"/>
    <n v="106"/>
    <n v="217"/>
    <n v="4772"/>
    <n v="2006"/>
    <n v="6702"/>
    <n v="7.9000000000000001E-2"/>
    <n v="0.20399999999999999"/>
    <n v="0.16900000000000001"/>
    <n v="21.408999999999999"/>
    <n v="126.953"/>
    <n v="8.3740000000000006"/>
    <n v="44.268000000000001"/>
    <n v="52.642000000000003"/>
    <n v="973.48799999999994"/>
    <n v="1026.1299999999999"/>
    <n v="1153.0829999999999"/>
  </r>
  <r>
    <x v="38"/>
    <x v="0"/>
    <s v="Rural"/>
    <n v="58042"/>
    <n v="1631"/>
    <n v="10344"/>
    <n v="727"/>
    <n v="1892"/>
    <n v="34871"/>
    <n v="8577"/>
    <n v="47834"/>
    <n v="8.4000000000000005E-2"/>
    <n v="0.20499999999999999"/>
    <n v="0.17299999999999999"/>
    <n v="137.00400000000002"/>
    <n v="868.89600000000007"/>
    <n v="61.068000000000005"/>
    <n v="387.85999999999996"/>
    <n v="448.92799999999994"/>
    <n v="7148.5549999999994"/>
    <n v="7597.4829999999993"/>
    <n v="8466.378999999999"/>
  </r>
  <r>
    <x v="39"/>
    <x v="4"/>
    <s v="Rural"/>
    <n v="21059"/>
    <n v="633"/>
    <n v="4092"/>
    <n v="246"/>
    <n v="439"/>
    <n v="12639"/>
    <n v="3010"/>
    <n v="17416"/>
    <n v="9.7000000000000003E-2"/>
    <n v="0.27"/>
    <n v="0.223"/>
    <n v="61.401000000000003"/>
    <n v="396.92400000000004"/>
    <n v="23.862000000000002"/>
    <n v="118.53"/>
    <n v="142.392"/>
    <n v="3412.53"/>
    <n v="3554.922"/>
    <n v="3951.846"/>
  </r>
  <r>
    <x v="40"/>
    <x v="2"/>
    <s v="Urban"/>
    <n v="513089"/>
    <n v="18128"/>
    <n v="96852"/>
    <n v="8274"/>
    <n v="18750"/>
    <n v="300463"/>
    <n v="70622"/>
    <n v="424339"/>
    <n v="8.5000000000000006E-2"/>
    <n v="0.20300000000000001"/>
    <n v="0.16900000000000001"/>
    <n v="1540.88"/>
    <n v="8232.42"/>
    <n v="703.29000000000008"/>
    <n v="3806.2500000000005"/>
    <n v="4509.5400000000009"/>
    <n v="60993.989000000001"/>
    <n v="65503.529000000002"/>
    <n v="73735.949000000008"/>
  </r>
  <r>
    <x v="41"/>
    <x v="0"/>
    <s v="Rural"/>
    <n v="53432"/>
    <n v="1660"/>
    <n v="9959"/>
    <n v="593"/>
    <n v="1348"/>
    <n v="30210"/>
    <n v="9662"/>
    <n v="42110"/>
    <n v="8.5999999999999993E-2"/>
    <n v="0.23"/>
    <n v="0.189"/>
    <n v="142.76"/>
    <n v="856.47399999999993"/>
    <n v="50.997999999999998"/>
    <n v="310.04000000000002"/>
    <n v="361.03800000000001"/>
    <n v="6948.3"/>
    <n v="7309.3379999999997"/>
    <n v="8165.8119999999999"/>
  </r>
  <r>
    <x v="42"/>
    <x v="2"/>
    <s v="Rural"/>
    <n v="125646"/>
    <n v="5438"/>
    <n v="28927"/>
    <n v="1887"/>
    <n v="3654"/>
    <n v="71054"/>
    <n v="14686"/>
    <n v="105522"/>
    <n v="8.5000000000000006E-2"/>
    <n v="0.24299999999999999"/>
    <n v="0.191"/>
    <n v="462.23"/>
    <n v="2458.7950000000001"/>
    <n v="160.39500000000001"/>
    <n v="887.92200000000003"/>
    <n v="1048.317"/>
    <n v="17266.121999999999"/>
    <n v="18314.438999999998"/>
    <n v="20773.233999999997"/>
  </r>
  <r>
    <x v="43"/>
    <x v="1"/>
    <s v="Rural"/>
    <n v="59955"/>
    <n v="1667"/>
    <n v="9454"/>
    <n v="676"/>
    <n v="1256"/>
    <n v="32712"/>
    <n v="14190"/>
    <n v="44098"/>
    <n v="7.3999999999999996E-2"/>
    <n v="0.18"/>
    <n v="0.153"/>
    <n v="123.35799999999999"/>
    <n v="699.596"/>
    <n v="50.024000000000001"/>
    <n v="226.07999999999998"/>
    <n v="276.10399999999998"/>
    <n v="5888.16"/>
    <n v="6164.2640000000001"/>
    <n v="6863.8600000000006"/>
  </r>
  <r>
    <x v="44"/>
    <x v="1"/>
    <s v="Rural"/>
    <n v="110264"/>
    <n v="3198"/>
    <n v="18795"/>
    <n v="1136"/>
    <n v="1922"/>
    <n v="58018"/>
    <n v="27195"/>
    <n v="79871"/>
    <n v="8.2000000000000003E-2"/>
    <n v="0.2"/>
    <n v="0.16800000000000001"/>
    <n v="262.23599999999999"/>
    <n v="1541.19"/>
    <n v="93.152000000000001"/>
    <n v="384.40000000000003"/>
    <n v="477.55200000000002"/>
    <n v="11603.6"/>
    <n v="12081.152"/>
    <n v="13622.342000000001"/>
  </r>
  <r>
    <x v="45"/>
    <x v="3"/>
    <s v="Rural"/>
    <n v="24511"/>
    <n v="668"/>
    <n v="4205"/>
    <n v="506"/>
    <n v="831"/>
    <n v="14030"/>
    <n v="4271"/>
    <n v="19572"/>
    <n v="8.8999999999999996E-2"/>
    <n v="0.22700000000000001"/>
    <n v="0.188"/>
    <n v="59.451999999999998"/>
    <n v="374.245"/>
    <n v="45.033999999999999"/>
    <n v="188.637"/>
    <n v="233.67099999999999"/>
    <n v="3184.81"/>
    <n v="3418.4809999999998"/>
    <n v="3792.7259999999997"/>
  </r>
  <r>
    <x v="46"/>
    <x v="2"/>
    <s v="Rural"/>
    <n v="51434"/>
    <n v="2805"/>
    <n v="13055"/>
    <n v="678"/>
    <n v="1287"/>
    <n v="29259"/>
    <n v="4350"/>
    <n v="44279"/>
    <n v="8.7999999999999995E-2"/>
    <n v="0.27100000000000002"/>
    <n v="0.21"/>
    <n v="246.83999999999997"/>
    <n v="1148.8399999999999"/>
    <n v="59.663999999999994"/>
    <n v="348.77700000000004"/>
    <n v="408.44100000000003"/>
    <n v="7929.1890000000003"/>
    <n v="8337.630000000001"/>
    <n v="9486.4700000000012"/>
  </r>
  <r>
    <x v="47"/>
    <x v="3"/>
    <s v="Rural"/>
    <n v="5837"/>
    <n v="152"/>
    <n v="861"/>
    <n v="70"/>
    <n v="122"/>
    <n v="3640"/>
    <n v="992"/>
    <n v="4693"/>
    <n v="8.5000000000000006E-2"/>
    <n v="0.246"/>
    <n v="0.20899999999999999"/>
    <n v="12.920000000000002"/>
    <n v="73.185000000000002"/>
    <n v="5.95"/>
    <n v="30.012"/>
    <n v="35.962000000000003"/>
    <n v="895.43999999999994"/>
    <n v="931.40199999999993"/>
    <n v="1004.587"/>
  </r>
  <r>
    <x v="48"/>
    <x v="6"/>
    <s v="Rural"/>
    <n v="167078"/>
    <n v="5294"/>
    <n v="33970"/>
    <n v="2394"/>
    <n v="4366"/>
    <n v="96911"/>
    <n v="24143"/>
    <n v="137641"/>
    <n v="7.6999999999999999E-2"/>
    <n v="0.191"/>
    <n v="0.157"/>
    <n v="407.63799999999998"/>
    <n v="2615.69"/>
    <n v="184.33799999999999"/>
    <n v="833.90600000000006"/>
    <n v="1018.244"/>
    <n v="18510.001"/>
    <n v="19528.244999999999"/>
    <n v="22143.934999999998"/>
  </r>
  <r>
    <x v="49"/>
    <x v="1"/>
    <s v="Rural"/>
    <n v="40951"/>
    <n v="1120"/>
    <n v="6095"/>
    <n v="1033"/>
    <n v="2776"/>
    <n v="22623"/>
    <n v="7304"/>
    <n v="32527"/>
    <n v="8.3000000000000004E-2"/>
    <n v="0.20599999999999999"/>
    <n v="0.17399999999999999"/>
    <n v="92.960000000000008"/>
    <n v="505.88500000000005"/>
    <n v="85.739000000000004"/>
    <n v="571.85599999999999"/>
    <n v="657.59500000000003"/>
    <n v="4660.3379999999997"/>
    <n v="5317.933"/>
    <n v="5823.8180000000002"/>
  </r>
  <r>
    <x v="50"/>
    <x v="7"/>
    <s v="Rural"/>
    <n v="180064"/>
    <n v="6730"/>
    <n v="40708"/>
    <n v="2658"/>
    <n v="4330"/>
    <n v="104046"/>
    <n v="21592"/>
    <n v="151742"/>
    <n v="8.5000000000000006E-2"/>
    <n v="0.23300000000000001"/>
    <n v="0.185"/>
    <n v="572.05000000000007"/>
    <n v="3460.1800000000003"/>
    <n v="225.93"/>
    <n v="1008.8900000000001"/>
    <n v="1234.8200000000002"/>
    <n v="24242.718000000001"/>
    <n v="25477.538"/>
    <n v="28937.718000000001"/>
  </r>
  <r>
    <x v="51"/>
    <x v="3"/>
    <s v="Rural"/>
    <n v="10579"/>
    <n v="303"/>
    <n v="1877"/>
    <n v="109"/>
    <n v="189"/>
    <n v="6075"/>
    <n v="2026"/>
    <n v="8250"/>
    <n v="8.3000000000000004E-2"/>
    <n v="0.22700000000000001"/>
    <n v="0.189"/>
    <n v="25.149000000000001"/>
    <n v="155.791"/>
    <n v="9.0470000000000006"/>
    <n v="42.902999999999999"/>
    <n v="51.95"/>
    <n v="1379.0250000000001"/>
    <n v="1430.9750000000001"/>
    <n v="1586.7660000000001"/>
  </r>
  <r>
    <x v="52"/>
    <x v="2"/>
    <s v="Rural"/>
    <n v="60314"/>
    <n v="2425"/>
    <n v="12706"/>
    <n v="798"/>
    <n v="1537"/>
    <n v="33681"/>
    <n v="9167"/>
    <n v="48722"/>
    <n v="9.4E-2"/>
    <n v="0.222"/>
    <n v="0.182"/>
    <n v="227.95"/>
    <n v="1194.364"/>
    <n v="75.012"/>
    <n v="341.214"/>
    <n v="416.226"/>
    <n v="7477.1819999999998"/>
    <n v="7893.4079999999994"/>
    <n v="9087.771999999999"/>
  </r>
  <r>
    <x v="53"/>
    <x v="4"/>
    <s v="Rural"/>
    <n v="59016"/>
    <n v="1935"/>
    <n v="11469"/>
    <n v="729"/>
    <n v="1576"/>
    <n v="32853"/>
    <n v="10454"/>
    <n v="46627"/>
    <n v="8.6999999999999994E-2"/>
    <n v="0.20899999999999999"/>
    <n v="0.17299999999999999"/>
    <n v="168.345"/>
    <n v="997.80299999999988"/>
    <n v="63.422999999999995"/>
    <n v="329.38400000000001"/>
    <n v="392.80700000000002"/>
    <n v="6866.277"/>
    <n v="7259.0839999999998"/>
    <n v="8256.8869999999988"/>
  </r>
  <r>
    <x v="54"/>
    <x v="6"/>
    <s v="Rural"/>
    <n v="80329"/>
    <n v="2309"/>
    <n v="15117"/>
    <n v="1063"/>
    <n v="1980"/>
    <n v="47227"/>
    <n v="12633"/>
    <n v="65387"/>
    <n v="7.5999999999999998E-2"/>
    <n v="0.20300000000000001"/>
    <n v="0.16800000000000001"/>
    <n v="175.48400000000001"/>
    <n v="1148.8920000000001"/>
    <n v="80.787999999999997"/>
    <n v="401.94000000000005"/>
    <n v="482.72800000000007"/>
    <n v="9587.0810000000001"/>
    <n v="10069.809000000001"/>
    <n v="11218.701000000001"/>
  </r>
  <r>
    <x v="55"/>
    <x v="1"/>
    <s v="Rural"/>
    <n v="34133"/>
    <n v="1009"/>
    <n v="5431"/>
    <n v="359"/>
    <n v="694"/>
    <n v="17514"/>
    <n v="9126"/>
    <n v="23998"/>
    <n v="8.1000000000000003E-2"/>
    <n v="0.19500000000000001"/>
    <n v="0.16400000000000001"/>
    <n v="81.728999999999999"/>
    <n v="439.911"/>
    <n v="29.079000000000001"/>
    <n v="135.33000000000001"/>
    <n v="164.40900000000002"/>
    <n v="3415.23"/>
    <n v="3579.6390000000001"/>
    <n v="4019.55"/>
  </r>
  <r>
    <x v="56"/>
    <x v="1"/>
    <s v="Rural"/>
    <n v="21440"/>
    <n v="576"/>
    <n v="3427"/>
    <n v="354"/>
    <n v="818"/>
    <n v="11899"/>
    <n v="4366"/>
    <n v="16498"/>
    <n v="7.4999999999999997E-2"/>
    <n v="0.192"/>
    <n v="0.161"/>
    <n v="43.199999999999996"/>
    <n v="257.02499999999998"/>
    <n v="26.55"/>
    <n v="157.05600000000001"/>
    <n v="183.60600000000002"/>
    <n v="2284.6080000000002"/>
    <n v="2468.2140000000004"/>
    <n v="2725.2390000000005"/>
  </r>
  <r>
    <x v="57"/>
    <x v="3"/>
    <s v="Rural"/>
    <n v="23608"/>
    <n v="707"/>
    <n v="4230"/>
    <n v="256"/>
    <n v="498"/>
    <n v="13154"/>
    <n v="4763"/>
    <n v="18138"/>
    <n v="8.5000000000000006E-2"/>
    <n v="0.21099999999999999"/>
    <n v="0.17599999999999999"/>
    <n v="60.095000000000006"/>
    <n v="359.55"/>
    <n v="21.76"/>
    <n v="105.078"/>
    <n v="126.83800000000001"/>
    <n v="2775.4939999999997"/>
    <n v="2902.3319999999999"/>
    <n v="3261.8820000000001"/>
  </r>
  <r>
    <x v="58"/>
    <x v="1"/>
    <s v="Rural"/>
    <n v="45298"/>
    <n v="1356"/>
    <n v="8062"/>
    <n v="574"/>
    <n v="989"/>
    <n v="25860"/>
    <n v="8457"/>
    <n v="35485"/>
    <n v="7.8E-2"/>
    <n v="0.189"/>
    <n v="0.159"/>
    <n v="105.768"/>
    <n v="628.83600000000001"/>
    <n v="44.771999999999998"/>
    <n v="186.92099999999999"/>
    <n v="231.69299999999998"/>
    <n v="4887.54"/>
    <n v="5119.2330000000002"/>
    <n v="5748.0690000000004"/>
  </r>
  <r>
    <x v="59"/>
    <x v="0"/>
    <s v="Urban"/>
    <n v="1010211"/>
    <n v="41507"/>
    <n v="204883"/>
    <n v="11525"/>
    <n v="25217"/>
    <n v="625337"/>
    <n v="101742"/>
    <n v="866962"/>
    <n v="8.6999999999999994E-2"/>
    <n v="0.21199999999999999"/>
    <n v="0.17499999999999999"/>
    <n v="3611.1089999999999"/>
    <n v="17824.821"/>
    <n v="1002.675"/>
    <n v="5346.0039999999999"/>
    <n v="6348.6790000000001"/>
    <n v="132571.44399999999"/>
    <n v="138920.12299999999"/>
    <n v="156744.94399999999"/>
  </r>
  <r>
    <x v="60"/>
    <x v="1"/>
    <s v="Rural"/>
    <n v="15357"/>
    <n v="434"/>
    <n v="2402"/>
    <n v="124"/>
    <n v="259"/>
    <n v="8639"/>
    <n v="3499"/>
    <n v="11424"/>
    <n v="7.5999999999999998E-2"/>
    <n v="0.187"/>
    <n v="0.159"/>
    <n v="32.984000000000002"/>
    <n v="182.55199999999999"/>
    <n v="9.4239999999999995"/>
    <n v="48.433"/>
    <n v="57.856999999999999"/>
    <n v="1615.4929999999999"/>
    <n v="1673.35"/>
    <n v="1855.9019999999998"/>
  </r>
  <r>
    <x v="61"/>
    <x v="2"/>
    <s v="Rural"/>
    <n v="27742"/>
    <n v="934"/>
    <n v="5404"/>
    <n v="380"/>
    <n v="812"/>
    <n v="15097"/>
    <n v="5115"/>
    <n v="21693"/>
    <n v="9.5000000000000001E-2"/>
    <n v="0.22500000000000001"/>
    <n v="0.187"/>
    <n v="88.73"/>
    <n v="513.38"/>
    <n v="36.1"/>
    <n v="182.70000000000002"/>
    <n v="218.8"/>
    <n v="3396.8250000000003"/>
    <n v="3615.6250000000005"/>
    <n v="4129.0050000000001"/>
  </r>
  <r>
    <x v="62"/>
    <x v="2"/>
    <s v="Rural"/>
    <n v="93144"/>
    <n v="2944"/>
    <n v="16624"/>
    <n v="1093"/>
    <n v="1926"/>
    <n v="47468"/>
    <n v="23089"/>
    <n v="67111"/>
    <n v="0.08"/>
    <n v="0.19500000000000001"/>
    <n v="0.16200000000000001"/>
    <n v="235.52"/>
    <n v="1329.92"/>
    <n v="87.44"/>
    <n v="375.57"/>
    <n v="463.01"/>
    <n v="9256.26"/>
    <n v="9719.27"/>
    <n v="11049.19"/>
  </r>
  <r>
    <x v="63"/>
    <x v="4"/>
    <s v="Rural"/>
    <n v="94459"/>
    <n v="3174"/>
    <n v="18056"/>
    <n v="1281"/>
    <n v="2329"/>
    <n v="54356"/>
    <n v="15263"/>
    <n v="76022"/>
    <n v="8.5999999999999993E-2"/>
    <n v="0.20699999999999999"/>
    <n v="0.17199999999999999"/>
    <n v="272.964"/>
    <n v="1552.8159999999998"/>
    <n v="110.166"/>
    <n v="482.10299999999995"/>
    <n v="592.26900000000001"/>
    <n v="11251.691999999999"/>
    <n v="11843.960999999999"/>
    <n v="13396.776999999998"/>
  </r>
  <r>
    <x v="64"/>
    <x v="5"/>
    <s v="Urban"/>
    <n v="217844"/>
    <n v="6688"/>
    <n v="34964"/>
    <n v="3439"/>
    <n v="8328"/>
    <n v="130240"/>
    <n v="34185"/>
    <n v="176971"/>
    <n v="7.9000000000000001E-2"/>
    <n v="0.2"/>
    <n v="0.16900000000000001"/>
    <n v="528.35199999999998"/>
    <n v="2762.1559999999999"/>
    <n v="271.68099999999998"/>
    <n v="1665.6000000000001"/>
    <n v="1937.2810000000002"/>
    <n v="26048"/>
    <n v="27985.280999999999"/>
    <n v="30747.436999999998"/>
  </r>
  <r>
    <x v="65"/>
    <x v="3"/>
    <s v="Rural"/>
    <n v="20958"/>
    <n v="550"/>
    <n v="3487"/>
    <n v="194"/>
    <n v="396"/>
    <n v="11734"/>
    <n v="4597"/>
    <n v="15811"/>
    <n v="8.5999999999999993E-2"/>
    <n v="0.23100000000000001"/>
    <n v="0.192"/>
    <n v="47.3"/>
    <n v="299.88199999999995"/>
    <n v="16.683999999999997"/>
    <n v="91.475999999999999"/>
    <n v="108.16"/>
    <n v="2710.5540000000001"/>
    <n v="2818.7139999999999"/>
    <n v="3118.596"/>
  </r>
  <r>
    <x v="66"/>
    <x v="5"/>
    <s v="Rural"/>
    <n v="197742"/>
    <n v="13004"/>
    <n v="41876"/>
    <n v="3129"/>
    <n v="11685"/>
    <n v="111366"/>
    <n v="16682"/>
    <n v="168056"/>
    <n v="0.08"/>
    <n v="0.24"/>
    <n v="0.192"/>
    <n v="1040.32"/>
    <n v="3350.08"/>
    <n v="250.32"/>
    <n v="2804.4"/>
    <n v="3054.7200000000003"/>
    <n v="26727.84"/>
    <n v="29782.560000000001"/>
    <n v="33132.639999999999"/>
  </r>
  <r>
    <x v="67"/>
    <x v="0"/>
    <s v="Urban"/>
    <n v="141422"/>
    <n v="3769"/>
    <n v="24290"/>
    <n v="3023"/>
    <n v="9098"/>
    <n v="84896"/>
    <n v="16346"/>
    <n v="121307"/>
    <n v="8.2000000000000003E-2"/>
    <n v="0.19500000000000001"/>
    <n v="0.16400000000000001"/>
    <n v="309.05799999999999"/>
    <n v="1991.78"/>
    <n v="247.88600000000002"/>
    <n v="1774.1100000000001"/>
    <n v="2021.9960000000001"/>
    <n v="16554.72"/>
    <n v="18576.716"/>
    <n v="20568.495999999999"/>
  </r>
  <r>
    <x v="68"/>
    <x v="3"/>
    <s v="Rural"/>
    <n v="13071"/>
    <n v="275"/>
    <n v="1891"/>
    <n v="102"/>
    <n v="222"/>
    <n v="7202"/>
    <n v="3379"/>
    <n v="9417"/>
    <n v="7.9000000000000001E-2"/>
    <n v="0.20200000000000001"/>
    <n v="0.17199999999999999"/>
    <n v="21.725000000000001"/>
    <n v="149.38900000000001"/>
    <n v="8.0579999999999998"/>
    <n v="44.844000000000001"/>
    <n v="52.902000000000001"/>
    <n v="1454.8040000000001"/>
    <n v="1507.7060000000001"/>
    <n v="1657.0950000000003"/>
  </r>
  <r>
    <x v="69"/>
    <x v="3"/>
    <s v="Rural"/>
    <n v="38919"/>
    <n v="1353"/>
    <n v="7515"/>
    <n v="718"/>
    <n v="1499"/>
    <n v="22108"/>
    <n v="5726"/>
    <n v="31840"/>
    <n v="8.2000000000000003E-2"/>
    <n v="0.21099999999999999"/>
    <n v="0.17399999999999999"/>
    <n v="110.946"/>
    <n v="616.23"/>
    <n v="58.876000000000005"/>
    <n v="316.28899999999999"/>
    <n v="375.16499999999996"/>
    <n v="4664.7879999999996"/>
    <n v="5039.9529999999995"/>
    <n v="5656.1829999999991"/>
  </r>
  <r>
    <x v="70"/>
    <x v="5"/>
    <s v="Rural"/>
    <n v="56589"/>
    <n v="1789"/>
    <n v="10276"/>
    <n v="682"/>
    <n v="1320"/>
    <n v="32879"/>
    <n v="9643"/>
    <n v="45157"/>
    <n v="0.08"/>
    <n v="0.222"/>
    <n v="0.182"/>
    <n v="143.12"/>
    <n v="822.08"/>
    <n v="54.56"/>
    <n v="293.04000000000002"/>
    <n v="347.6"/>
    <n v="7299.1379999999999"/>
    <n v="7646.7380000000003"/>
    <n v="8468.8180000000011"/>
  </r>
  <r>
    <x v="71"/>
    <x v="3"/>
    <s v="Rural"/>
    <n v="13823"/>
    <n v="386"/>
    <n v="2286"/>
    <n v="123"/>
    <n v="293"/>
    <n v="7276"/>
    <n v="3459"/>
    <n v="9978"/>
    <n v="7.6999999999999999E-2"/>
    <n v="0.215"/>
    <n v="0.17799999999999999"/>
    <n v="29.722000000000001"/>
    <n v="176.02199999999999"/>
    <n v="9.4710000000000001"/>
    <n v="62.994999999999997"/>
    <n v="72.465999999999994"/>
    <n v="1564.34"/>
    <n v="1636.8059999999998"/>
    <n v="1812.8279999999997"/>
  </r>
  <r>
    <x v="72"/>
    <x v="0"/>
    <s v="Rural"/>
    <n v="39231"/>
    <n v="1213"/>
    <n v="7272"/>
    <n v="461"/>
    <n v="847"/>
    <n v="22686"/>
    <n v="6752"/>
    <n v="31266"/>
    <n v="7.9000000000000001E-2"/>
    <n v="0.20699999999999999"/>
    <n v="0.17100000000000001"/>
    <n v="95.826999999999998"/>
    <n v="574.48800000000006"/>
    <n v="36.418999999999997"/>
    <n v="175.32899999999998"/>
    <n v="211.74799999999999"/>
    <n v="4696.0019999999995"/>
    <n v="4907.7499999999991"/>
    <n v="5482.2379999999994"/>
  </r>
  <r>
    <x v="73"/>
    <x v="3"/>
    <s v="Rural"/>
    <n v="175446"/>
    <n v="6239"/>
    <n v="32465"/>
    <n v="3837"/>
    <n v="10948"/>
    <n v="101970"/>
    <n v="19987"/>
    <n v="149220"/>
    <n v="8.5000000000000006E-2"/>
    <n v="0.22"/>
    <n v="0.18099999999999999"/>
    <n v="530.31500000000005"/>
    <n v="2759.5250000000001"/>
    <n v="326.14500000000004"/>
    <n v="2408.56"/>
    <n v="2734.7049999999999"/>
    <n v="22433.4"/>
    <n v="25168.105000000003"/>
    <n v="27927.630000000005"/>
  </r>
  <r>
    <x v="74"/>
    <x v="1"/>
    <s v="Rural"/>
    <n v="20603"/>
    <n v="415"/>
    <n v="3137"/>
    <n v="203"/>
    <n v="416"/>
    <n v="10857"/>
    <n v="5575"/>
    <n v="14613"/>
    <n v="0.08"/>
    <n v="0.186"/>
    <n v="0.159"/>
    <n v="33.200000000000003"/>
    <n v="250.96"/>
    <n v="16.240000000000002"/>
    <n v="77.376000000000005"/>
    <n v="93.616000000000014"/>
    <n v="2019.402"/>
    <n v="2113.018"/>
    <n v="2363.9780000000001"/>
  </r>
  <r>
    <x v="75"/>
    <x v="2"/>
    <s v="Rural"/>
    <n v="142678"/>
    <n v="4785"/>
    <n v="28319"/>
    <n v="1940"/>
    <n v="3930"/>
    <n v="80942"/>
    <n v="22762"/>
    <n v="115131"/>
    <n v="8.3000000000000004E-2"/>
    <n v="0.20499999999999999"/>
    <n v="0.16900000000000001"/>
    <n v="397.15500000000003"/>
    <n v="2350.4770000000003"/>
    <n v="161.02000000000001"/>
    <n v="805.65"/>
    <n v="966.67"/>
    <n v="16593.11"/>
    <n v="17559.78"/>
    <n v="19910.256999999998"/>
  </r>
  <r>
    <x v="76"/>
    <x v="2"/>
    <s v="Rural"/>
    <n v="46030"/>
    <n v="1591"/>
    <n v="9254"/>
    <n v="718"/>
    <n v="1444"/>
    <n v="25675"/>
    <n v="7348"/>
    <n v="37091"/>
    <n v="8.5999999999999993E-2"/>
    <n v="0.22800000000000001"/>
    <n v="0.186"/>
    <n v="136.82599999999999"/>
    <n v="795.84399999999994"/>
    <n v="61.747999999999998"/>
    <n v="329.23200000000003"/>
    <n v="390.98"/>
    <n v="5853.9000000000005"/>
    <n v="6244.880000000001"/>
    <n v="7040.7240000000011"/>
  </r>
  <r>
    <x v="77"/>
    <x v="4"/>
    <s v="Rural"/>
    <n v="133599"/>
    <n v="5273"/>
    <n v="28469"/>
    <n v="2390"/>
    <n v="4866"/>
    <n v="75003"/>
    <n v="17598"/>
    <n v="110728"/>
    <n v="9.8000000000000004E-2"/>
    <n v="0.254"/>
    <n v="0.20300000000000001"/>
    <n v="516.75400000000002"/>
    <n v="2789.962"/>
    <n v="234.22"/>
    <n v="1235.9639999999999"/>
    <n v="1470.184"/>
    <n v="19050.761999999999"/>
    <n v="20520.946"/>
    <n v="23310.907999999999"/>
  </r>
  <r>
    <x v="78"/>
    <x v="8"/>
    <s v="Rural"/>
    <n v="91775"/>
    <n v="2767"/>
    <n v="16442"/>
    <n v="1105"/>
    <n v="2228"/>
    <n v="52569"/>
    <n v="16664"/>
    <n v="72344"/>
    <n v="0.08"/>
    <n v="0.20300000000000001"/>
    <n v="0.17"/>
    <n v="221.36"/>
    <n v="1315.3600000000001"/>
    <n v="88.4"/>
    <n v="452.28400000000005"/>
    <n v="540.68400000000008"/>
    <n v="10671.507000000001"/>
    <n v="11212.191000000001"/>
    <n v="12527.551000000001"/>
  </r>
  <r>
    <x v="79"/>
    <x v="0"/>
    <s v="Urban"/>
    <n v="139161"/>
    <n v="4596"/>
    <n v="27054"/>
    <n v="1863"/>
    <n v="3844"/>
    <n v="79702"/>
    <n v="22102"/>
    <n v="112463"/>
    <n v="8.2000000000000003E-2"/>
    <n v="0.20799999999999999"/>
    <n v="0.17199999999999999"/>
    <n v="376.87200000000001"/>
    <n v="2218.4279999999999"/>
    <n v="152.76600000000002"/>
    <n v="799.55199999999991"/>
    <n v="952.31799999999998"/>
    <n v="16578.016"/>
    <n v="17530.333999999999"/>
    <n v="19748.761999999999"/>
  </r>
  <r>
    <x v="80"/>
    <x v="1"/>
    <s v="Rural"/>
    <n v="67535"/>
    <n v="2043"/>
    <n v="12288"/>
    <n v="914"/>
    <n v="1528"/>
    <n v="37607"/>
    <n v="13155"/>
    <n v="52337"/>
    <n v="7.9000000000000001E-2"/>
    <n v="0.20200000000000001"/>
    <n v="0.16800000000000001"/>
    <n v="161.39699999999999"/>
    <n v="970.75199999999995"/>
    <n v="72.206000000000003"/>
    <n v="308.65600000000001"/>
    <n v="380.86200000000002"/>
    <n v="7596.6140000000005"/>
    <n v="7977.4760000000006"/>
    <n v="8948.228000000001"/>
  </r>
  <r>
    <x v="81"/>
    <x v="4"/>
    <s v="Rural"/>
    <n v="64553"/>
    <n v="2524"/>
    <n v="13492"/>
    <n v="914"/>
    <n v="1811"/>
    <n v="35579"/>
    <n v="10233"/>
    <n v="51796"/>
    <n v="9.6000000000000002E-2"/>
    <n v="0.26"/>
    <n v="0.21"/>
    <n v="242.304"/>
    <n v="1295.232"/>
    <n v="87.744"/>
    <n v="470.86"/>
    <n v="558.60400000000004"/>
    <n v="9250.5400000000009"/>
    <n v="9809.1440000000002"/>
    <n v="11104.376"/>
  </r>
  <r>
    <x v="82"/>
    <x v="4"/>
    <s v="Rural"/>
    <n v="36120"/>
    <n v="1315"/>
    <n v="7348"/>
    <n v="469"/>
    <n v="966"/>
    <n v="20380"/>
    <n v="5642"/>
    <n v="29163"/>
    <n v="8.5000000000000006E-2"/>
    <n v="0.217"/>
    <n v="0.17699999999999999"/>
    <n v="111.77500000000001"/>
    <n v="624.58000000000004"/>
    <n v="39.865000000000002"/>
    <n v="209.62199999999999"/>
    <n v="249.48699999999999"/>
    <n v="4422.46"/>
    <n v="4671.9470000000001"/>
    <n v="5296.527"/>
  </r>
  <r>
    <x v="83"/>
    <x v="0"/>
    <s v="Rural"/>
    <n v="60562"/>
    <n v="1889"/>
    <n v="11120"/>
    <n v="773"/>
    <n v="1632"/>
    <n v="34627"/>
    <n v="10521"/>
    <n v="48152"/>
    <n v="7.4999999999999997E-2"/>
    <n v="0.189"/>
    <n v="0.156"/>
    <n v="141.67499999999998"/>
    <n v="834"/>
    <n v="57.974999999999994"/>
    <n v="308.44799999999998"/>
    <n v="366.423"/>
    <n v="6544.5029999999997"/>
    <n v="6910.9259999999995"/>
    <n v="7744.9259999999995"/>
  </r>
  <r>
    <x v="84"/>
    <x v="8"/>
    <s v="Rural"/>
    <n v="46409"/>
    <n v="1190"/>
    <n v="8065"/>
    <n v="510"/>
    <n v="1019"/>
    <n v="27173"/>
    <n v="8452"/>
    <n v="36767"/>
    <n v="7.0999999999999994E-2"/>
    <n v="0.2"/>
    <n v="0.16500000000000001"/>
    <n v="84.49"/>
    <n v="572.6149999999999"/>
    <n v="36.209999999999994"/>
    <n v="203.8"/>
    <n v="240.01"/>
    <n v="5434.6"/>
    <n v="5674.6100000000006"/>
    <n v="6247.2250000000004"/>
  </r>
  <r>
    <x v="85"/>
    <x v="6"/>
    <s v="Rural"/>
    <n v="73368"/>
    <n v="2279"/>
    <n v="13871"/>
    <n v="979"/>
    <n v="2055"/>
    <n v="40781"/>
    <n v="13403"/>
    <n v="57686"/>
    <n v="8.4000000000000005E-2"/>
    <n v="0.19700000000000001"/>
    <n v="0.16500000000000001"/>
    <n v="191.43600000000001"/>
    <n v="1165.164"/>
    <n v="82.236000000000004"/>
    <n v="404.83500000000004"/>
    <n v="487.07100000000003"/>
    <n v="8033.857"/>
    <n v="8520.9279999999999"/>
    <n v="9686.0920000000006"/>
  </r>
  <r>
    <x v="86"/>
    <x v="1"/>
    <s v="Rural"/>
    <n v="14750"/>
    <n v="610"/>
    <n v="2843"/>
    <n v="174"/>
    <n v="338"/>
    <n v="8103"/>
    <n v="2682"/>
    <n v="11458"/>
    <n v="9.4E-2"/>
    <n v="0.218"/>
    <n v="0.18099999999999999"/>
    <n v="57.34"/>
    <n v="267.24200000000002"/>
    <n v="16.356000000000002"/>
    <n v="73.683999999999997"/>
    <n v="90.039999999999992"/>
    <n v="1766.454"/>
    <n v="1856.4939999999999"/>
    <n v="2123.7359999999999"/>
  </r>
  <r>
    <x v="87"/>
    <x v="1"/>
    <s v="Rural"/>
    <n v="33231"/>
    <n v="813"/>
    <n v="4833"/>
    <n v="457"/>
    <n v="835"/>
    <n v="16682"/>
    <n v="9611"/>
    <n v="22807"/>
    <n v="7.6999999999999999E-2"/>
    <n v="0.185"/>
    <n v="0.157"/>
    <n v="62.600999999999999"/>
    <n v="372.14100000000002"/>
    <n v="35.189"/>
    <n v="154.47499999999999"/>
    <n v="189.66399999999999"/>
    <n v="3086.17"/>
    <n v="3275.8339999999998"/>
    <n v="3647.9749999999999"/>
  </r>
  <r>
    <x v="88"/>
    <x v="3"/>
    <s v="Rural"/>
    <n v="4114"/>
    <n v="124"/>
    <n v="613"/>
    <n v="36"/>
    <n v="74"/>
    <n v="2493"/>
    <n v="774"/>
    <n v="3216"/>
    <n v="0.09"/>
    <n v="0.26600000000000001"/>
    <n v="0.22500000000000001"/>
    <n v="11.16"/>
    <n v="55.169999999999995"/>
    <n v="3.2399999999999998"/>
    <n v="19.684000000000001"/>
    <n v="22.923999999999999"/>
    <n v="663.13800000000003"/>
    <n v="686.06200000000001"/>
    <n v="741.23199999999997"/>
  </r>
  <r>
    <x v="89"/>
    <x v="0"/>
    <s v="Rural"/>
    <n v="215416"/>
    <n v="7295"/>
    <n v="52030"/>
    <n v="3589"/>
    <n v="5693"/>
    <n v="122361"/>
    <n v="24448"/>
    <n v="183673"/>
    <n v="7.6999999999999999E-2"/>
    <n v="0.21299999999999999"/>
    <n v="0.16600000000000001"/>
    <n v="561.71500000000003"/>
    <n v="4006.31"/>
    <n v="276.35300000000001"/>
    <n v="1212.6089999999999"/>
    <n v="1488.962"/>
    <n v="26062.893"/>
    <n v="27551.855"/>
    <n v="31558.165000000001"/>
  </r>
  <r>
    <x v="90"/>
    <x v="0"/>
    <s v="Rural"/>
    <n v="44977"/>
    <n v="1666"/>
    <n v="9187"/>
    <n v="611"/>
    <n v="1238"/>
    <n v="25034"/>
    <n v="7241"/>
    <n v="36070"/>
    <n v="9.0999999999999998E-2"/>
    <n v="0.23200000000000001"/>
    <n v="0.188"/>
    <n v="151.60599999999999"/>
    <n v="836.01699999999994"/>
    <n v="55.600999999999999"/>
    <n v="287.21600000000001"/>
    <n v="342.81700000000001"/>
    <n v="5807.8879999999999"/>
    <n v="6150.7049999999999"/>
    <n v="6986.7219999999998"/>
  </r>
  <r>
    <x v="91"/>
    <x v="7"/>
    <s v="Urban"/>
    <n v="985146"/>
    <n v="37294"/>
    <n v="208100"/>
    <n v="13145"/>
    <n v="26037"/>
    <n v="601273"/>
    <n v="99297"/>
    <n v="848555"/>
    <n v="8.1000000000000003E-2"/>
    <n v="0.19700000000000001"/>
    <n v="0.16200000000000001"/>
    <n v="3020.8140000000003"/>
    <n v="16856.100000000002"/>
    <n v="1064.7450000000001"/>
    <n v="5129.2890000000007"/>
    <n v="6194.0340000000006"/>
    <n v="118450.781"/>
    <n v="124644.815"/>
    <n v="141500.91500000001"/>
  </r>
  <r>
    <x v="92"/>
    <x v="0"/>
    <s v="Rural"/>
    <n v="20368"/>
    <n v="513"/>
    <n v="3328"/>
    <n v="205"/>
    <n v="400"/>
    <n v="11497"/>
    <n v="4425"/>
    <n v="15430"/>
    <n v="8.8999999999999996E-2"/>
    <n v="0.252"/>
    <n v="0.20899999999999999"/>
    <n v="45.656999999999996"/>
    <n v="296.19200000000001"/>
    <n v="18.244999999999997"/>
    <n v="100.8"/>
    <n v="119.04499999999999"/>
    <n v="2897.2440000000001"/>
    <n v="3016.2890000000002"/>
    <n v="3312.4810000000002"/>
  </r>
  <r>
    <x v="93"/>
    <x v="3"/>
    <s v="Rural"/>
    <n v="12754"/>
    <n v="402"/>
    <n v="2399"/>
    <n v="127"/>
    <n v="251"/>
    <n v="6927"/>
    <n v="2648"/>
    <n v="9704"/>
    <n v="8.7999999999999995E-2"/>
    <n v="0.221"/>
    <n v="0.183"/>
    <n v="35.375999999999998"/>
    <n v="211.11199999999999"/>
    <n v="11.176"/>
    <n v="55.471000000000004"/>
    <n v="66.647000000000006"/>
    <n v="1530.867"/>
    <n v="1597.5139999999999"/>
    <n v="1808.626"/>
  </r>
  <r>
    <x v="94"/>
    <x v="1"/>
    <s v="Rural"/>
    <n v="52959"/>
    <n v="1034"/>
    <n v="5898"/>
    <n v="1752"/>
    <n v="6740"/>
    <n v="29871"/>
    <n v="7664"/>
    <n v="44261"/>
    <n v="8.1000000000000003E-2"/>
    <n v="0.218"/>
    <n v="0.186"/>
    <n v="83.754000000000005"/>
    <n v="477.738"/>
    <n v="141.91200000000001"/>
    <n v="1469.32"/>
    <n v="1611.232"/>
    <n v="6511.8779999999997"/>
    <n v="8123.11"/>
    <n v="8600.848"/>
  </r>
  <r>
    <x v="95"/>
    <x v="4"/>
    <s v="Rural"/>
    <n v="125656"/>
    <n v="5101"/>
    <n v="25595"/>
    <n v="1567"/>
    <n v="3526"/>
    <n v="71715"/>
    <n v="18152"/>
    <n v="102403"/>
    <n v="8.7999999999999995E-2"/>
    <n v="0.22600000000000001"/>
    <n v="0.185"/>
    <n v="448.88799999999998"/>
    <n v="2252.3599999999997"/>
    <n v="137.89599999999999"/>
    <n v="796.87599999999998"/>
    <n v="934.77199999999993"/>
    <n v="16207.59"/>
    <n v="17142.362000000001"/>
    <n v="19394.722000000002"/>
  </r>
  <r>
    <x v="96"/>
    <x v="1"/>
    <s v="Rural"/>
    <n v="69817"/>
    <n v="2029"/>
    <n v="12646"/>
    <n v="863"/>
    <n v="1638"/>
    <n v="39163"/>
    <n v="13478"/>
    <n v="54310"/>
    <n v="7.6999999999999999E-2"/>
    <n v="0.192"/>
    <n v="0.16"/>
    <n v="156.233"/>
    <n v="973.74199999999996"/>
    <n v="66.450999999999993"/>
    <n v="314.49599999999998"/>
    <n v="380.947"/>
    <n v="7519.2960000000003"/>
    <n v="7900.2430000000004"/>
    <n v="8873.9850000000006"/>
  </r>
  <r>
    <x v="97"/>
    <x v="4"/>
    <s v="Rural"/>
    <n v="82175"/>
    <n v="2798"/>
    <n v="16605"/>
    <n v="1023"/>
    <n v="2032"/>
    <n v="46595"/>
    <n v="13122"/>
    <n v="66255"/>
    <n v="0.09"/>
    <n v="0.221"/>
    <n v="0.18099999999999999"/>
    <n v="251.82"/>
    <n v="1494.45"/>
    <n v="92.07"/>
    <n v="449.072"/>
    <n v="541.14200000000005"/>
    <n v="10297.495000000001"/>
    <n v="10838.637000000001"/>
    <n v="12333.087000000001"/>
  </r>
  <r>
    <x v="98"/>
    <x v="6"/>
    <s v="Rural"/>
    <n v="38023"/>
    <n v="1220"/>
    <n v="7097"/>
    <n v="473"/>
    <n v="969"/>
    <n v="21410"/>
    <n v="6854"/>
    <n v="29949"/>
    <n v="8.3000000000000004E-2"/>
    <n v="0.20899999999999999"/>
    <n v="0.17299999999999999"/>
    <n v="101.26"/>
    <n v="589.05100000000004"/>
    <n v="39.259"/>
    <n v="202.52099999999999"/>
    <n v="241.77999999999997"/>
    <n v="4474.6899999999996"/>
    <n v="4716.4699999999993"/>
    <n v="5305.5209999999997"/>
  </r>
  <r>
    <x v="99"/>
    <x v="1"/>
    <s v="Rural"/>
    <n v="17940"/>
    <n v="505"/>
    <n v="2876"/>
    <n v="196"/>
    <n v="362"/>
    <n v="9886"/>
    <n v="4115"/>
    <n v="13320"/>
    <n v="7.9000000000000001E-2"/>
    <n v="0.19900000000000001"/>
    <n v="0.16800000000000001"/>
    <n v="39.895000000000003"/>
    <n v="227.20400000000001"/>
    <n v="15.484"/>
    <n v="72.037999999999997"/>
    <n v="87.521999999999991"/>
    <n v="1967.3140000000001"/>
    <n v="2054.8360000000002"/>
    <n v="2282.0400000000004"/>
  </r>
  <r>
    <x v="100"/>
    <x v="9"/>
    <m/>
    <m/>
    <m/>
    <m/>
    <m/>
    <m/>
    <m/>
    <m/>
    <m/>
    <s v="Calculated based on July 2011 Population"/>
    <m/>
    <m/>
    <m/>
    <m/>
    <m/>
    <m/>
    <m/>
    <m/>
    <m/>
    <m/>
  </r>
  <r>
    <x v="101"/>
    <x v="10"/>
    <m/>
    <n v="9956488"/>
    <n v="356415"/>
    <n v="1935458"/>
    <n v="136224"/>
    <n v="295641"/>
    <n v="5776812"/>
    <n v="1455938"/>
    <n v="8144135"/>
    <n v="9.2861228007293517E-2"/>
    <n v="0.22359886796611902"/>
    <n v="0.188150584549657"/>
    <n v="29817.624999999996"/>
    <n v="161478.51499999998"/>
    <n v="11354.073999999999"/>
    <n v="62143.639999999985"/>
    <n v="73497.714000000036"/>
    <n v="1207115.3490000002"/>
    <n v="1280613.0630000003"/>
    <n v="1442091.578"/>
  </r>
</pivotCacheRecords>
</file>

<file path=xl/pivotCache/pivotCacheRecords3.xml><?xml version="1.0" encoding="utf-8"?>
<pivotCacheRecords xmlns="http://schemas.openxmlformats.org/spreadsheetml/2006/main" xmlns:r="http://schemas.openxmlformats.org/officeDocument/2006/relationships" count="100">
  <r>
    <x v="0"/>
    <x v="0"/>
    <s v="Urban"/>
    <n v="154732"/>
    <n v="5187"/>
    <n v="29640"/>
    <n v="7716"/>
    <n v="87239"/>
    <n v="24950"/>
    <n v="124595"/>
    <n v="7.2000000000000008E-2"/>
    <n v="0.24299999999999999"/>
    <n v="0.19500000000000001"/>
    <n v="373.46400000000006"/>
    <n v="2134.0800000000004"/>
    <n v="1874.9880000000001"/>
    <n v="21199.077000000001"/>
    <n v="23074.065000000002"/>
    <n v="24296.025000000001"/>
  </r>
  <r>
    <x v="1"/>
    <x v="1"/>
    <s v="Urban"/>
    <n v="37383"/>
    <n v="1098"/>
    <n v="6622"/>
    <n v="1306"/>
    <n v="21507"/>
    <n v="6850"/>
    <n v="29435"/>
    <n v="6.8000000000000005E-2"/>
    <n v="0.214"/>
    <n v="0.17399999999999999"/>
    <n v="74.664000000000001"/>
    <n v="450.29600000000005"/>
    <n v="279.48399999999998"/>
    <n v="4602.4979999999996"/>
    <n v="4881.982"/>
    <n v="5121.6899999999996"/>
  </r>
  <r>
    <x v="2"/>
    <x v="1"/>
    <s v="Rural"/>
    <n v="11156"/>
    <n v="272"/>
    <n v="1743"/>
    <n v="379"/>
    <n v="6063"/>
    <n v="2699"/>
    <n v="8185"/>
    <n v="0.113"/>
    <n v="0.29499999999999998"/>
    <n v="0.251"/>
    <n v="30.736000000000001"/>
    <n v="196.959"/>
    <n v="111.80499999999999"/>
    <n v="1788.5849999999998"/>
    <n v="1900.3899999999999"/>
    <n v="2054.4349999999999"/>
  </r>
  <r>
    <x v="3"/>
    <x v="2"/>
    <s v="Rural"/>
    <n v="26429"/>
    <n v="719"/>
    <n v="4698"/>
    <n v="944"/>
    <n v="15719"/>
    <n v="4349"/>
    <n v="21361"/>
    <n v="6.2E-2"/>
    <n v="0.23899999999999999"/>
    <n v="0.19"/>
    <n v="44.578000000000003"/>
    <n v="291.27600000000001"/>
    <n v="225.61599999999999"/>
    <n v="3756.8409999999999"/>
    <n v="3982.4569999999999"/>
    <n v="4058.59"/>
  </r>
  <r>
    <x v="4"/>
    <x v="1"/>
    <s v="Rural"/>
    <n v="27444"/>
    <n v="753"/>
    <n v="4371"/>
    <n v="866"/>
    <n v="15043"/>
    <n v="6411"/>
    <n v="20280"/>
    <n v="9.0999999999999998E-2"/>
    <n v="0.28000000000000003"/>
    <n v="0.23399999999999999"/>
    <n v="68.522999999999996"/>
    <n v="397.76099999999997"/>
    <n v="242.48000000000002"/>
    <n v="4212.04"/>
    <n v="4454.5200000000004"/>
    <n v="4745.5199999999995"/>
  </r>
  <r>
    <x v="5"/>
    <x v="1"/>
    <s v="Rural"/>
    <n v="17879"/>
    <n v="452"/>
    <n v="2392"/>
    <n v="645"/>
    <n v="10767"/>
    <n v="3623"/>
    <n v="13804"/>
    <n v="0.106"/>
    <n v="0.28899999999999998"/>
    <n v="0.24600000000000002"/>
    <n v="47.911999999999999"/>
    <n v="253.55199999999999"/>
    <n v="186.40499999999997"/>
    <n v="3111.6629999999996"/>
    <n v="3298.0679999999993"/>
    <n v="3395.7840000000006"/>
  </r>
  <r>
    <x v="6"/>
    <x v="3"/>
    <s v="Rural"/>
    <n v="47782"/>
    <n v="1439"/>
    <n v="8626"/>
    <n v="1512"/>
    <n v="25594"/>
    <n v="10611"/>
    <n v="35732"/>
    <n v="8.199999999999999E-2"/>
    <n v="0.23699999999999999"/>
    <n v="0.19500000000000001"/>
    <n v="117.99799999999999"/>
    <n v="707.33199999999988"/>
    <n v="358.34399999999999"/>
    <n v="6065.7779999999993"/>
    <n v="6424.1219999999994"/>
    <n v="6967.7400000000007"/>
  </r>
  <r>
    <x v="7"/>
    <x v="3"/>
    <s v="Rural"/>
    <n v="20611"/>
    <n v="543"/>
    <n v="3395"/>
    <n v="788"/>
    <n v="12048"/>
    <n v="3837"/>
    <n v="16231"/>
    <n v="5.9000000000000004E-2"/>
    <n v="0.20800000000000002"/>
    <n v="0.17"/>
    <n v="32.036999999999999"/>
    <n v="200.30500000000001"/>
    <n v="163.90400000000002"/>
    <n v="2505.9840000000004"/>
    <n v="2669.8880000000004"/>
    <n v="2759.27"/>
  </r>
  <r>
    <x v="8"/>
    <x v="4"/>
    <s v="Rural"/>
    <n v="35245"/>
    <n v="1049"/>
    <n v="6448"/>
    <n v="1319"/>
    <n v="19854"/>
    <n v="6575"/>
    <n v="27621"/>
    <n v="8.3000000000000004E-2"/>
    <n v="0.248"/>
    <n v="0.20300000000000001"/>
    <n v="87.067000000000007"/>
    <n v="535.18400000000008"/>
    <n v="327.11200000000002"/>
    <n v="4923.7920000000004"/>
    <n v="5250.9040000000005"/>
    <n v="5607.0630000000001"/>
  </r>
  <r>
    <x v="9"/>
    <x v="3"/>
    <s v="Urban"/>
    <n v="121744"/>
    <n v="3173"/>
    <n v="18292"/>
    <n v="3045"/>
    <n v="63973"/>
    <n v="33261"/>
    <n v="85310"/>
    <n v="7.9000000000000001E-2"/>
    <n v="0.23100000000000001"/>
    <n v="0.19399999999999998"/>
    <n v="250.667"/>
    <n v="1445.068"/>
    <n v="703.39499999999998"/>
    <n v="14777.763000000001"/>
    <n v="15481.158000000001"/>
    <n v="16550.14"/>
  </r>
  <r>
    <x v="10"/>
    <x v="1"/>
    <s v="Urban"/>
    <n v="255008"/>
    <n v="7853"/>
    <n v="41908"/>
    <n v="8506"/>
    <n v="149907"/>
    <n v="46834"/>
    <n v="200321"/>
    <n v="6.8000000000000005E-2"/>
    <n v="0.24399999999999999"/>
    <n v="0.2"/>
    <n v="534.00400000000002"/>
    <n v="2849.7440000000001"/>
    <n v="2075.4639999999999"/>
    <n v="36577.307999999997"/>
    <n v="38652.771999999997"/>
    <n v="40064.200000000004"/>
  </r>
  <r>
    <x v="11"/>
    <x v="5"/>
    <s v="Urban"/>
    <n v="88786"/>
    <n v="2492"/>
    <n v="15784"/>
    <n v="4477"/>
    <n v="49551"/>
    <n v="16482"/>
    <n v="69812"/>
    <n v="6.9000000000000006E-2"/>
    <n v="0.23899999999999999"/>
    <n v="0.19600000000000001"/>
    <n v="171.94800000000001"/>
    <n v="1089.096"/>
    <n v="1070.0029999999999"/>
    <n v="11842.689"/>
    <n v="12912.692000000001"/>
    <n v="13683.152"/>
  </r>
  <r>
    <x v="12"/>
    <x v="0"/>
    <s v="Urban"/>
    <n v="192434"/>
    <n v="7147"/>
    <n v="41984"/>
    <n v="7536"/>
    <n v="111278"/>
    <n v="24489"/>
    <n v="160798"/>
    <n v="7.2000000000000008E-2"/>
    <n v="0.20499999999999999"/>
    <n v="0.16399999999999998"/>
    <n v="514.58400000000006"/>
    <n v="3022.8480000000004"/>
    <n v="1544.8799999999999"/>
    <n v="22811.989999999998"/>
    <n v="24356.87"/>
    <n v="26370.871999999996"/>
  </r>
  <r>
    <x v="13"/>
    <x v="1"/>
    <s v="Urban"/>
    <n v="82241"/>
    <n v="2322"/>
    <n v="14695"/>
    <n v="3278"/>
    <n v="47124"/>
    <n v="14822"/>
    <n v="65097"/>
    <n v="6.3E-2"/>
    <n v="0.24199999999999999"/>
    <n v="0.19500000000000001"/>
    <n v="146.286"/>
    <n v="925.78499999999997"/>
    <n v="793.27599999999995"/>
    <n v="11404.008"/>
    <n v="12197.284"/>
    <n v="12693.915000000001"/>
  </r>
  <r>
    <x v="14"/>
    <x v="3"/>
    <s v="Rural"/>
    <n v="10380"/>
    <n v="292"/>
    <n v="1975"/>
    <n v="385"/>
    <n v="6137"/>
    <n v="1591"/>
    <n v="8497"/>
    <n v="8.5999999999999993E-2"/>
    <n v="0.187"/>
    <n v="0.157"/>
    <n v="25.111999999999998"/>
    <n v="169.85"/>
    <n v="71.995000000000005"/>
    <n v="1147.6189999999999"/>
    <n v="1219.614"/>
    <n v="1334.029"/>
  </r>
  <r>
    <x v="15"/>
    <x v="3"/>
    <s v="Rural"/>
    <n v="70911"/>
    <n v="1871"/>
    <n v="10737"/>
    <n v="2197"/>
    <n v="40243"/>
    <n v="15863"/>
    <n v="53177"/>
    <n v="7.6999999999999999E-2"/>
    <n v="0.22399999999999998"/>
    <n v="0.188"/>
    <n v="144.06700000000001"/>
    <n v="826.74900000000002"/>
    <n v="492.12799999999993"/>
    <n v="9014.4319999999989"/>
    <n v="9506.56"/>
    <n v="9997.2759999999998"/>
  </r>
  <r>
    <x v="16"/>
    <x v="0"/>
    <s v="Rural"/>
    <n v="23806"/>
    <n v="616"/>
    <n v="3790"/>
    <n v="767"/>
    <n v="14179"/>
    <n v="4454"/>
    <n v="18736"/>
    <n v="7.0000000000000007E-2"/>
    <n v="0.20499999999999999"/>
    <n v="0.17"/>
    <n v="43.120000000000005"/>
    <n v="265.3"/>
    <n v="157.23499999999999"/>
    <n v="2906.6949999999997"/>
    <n v="3063.93"/>
    <n v="3185.1200000000003"/>
  </r>
  <r>
    <x v="17"/>
    <x v="5"/>
    <s v="Urban"/>
    <n v="155477"/>
    <n v="5123"/>
    <n v="29971"/>
    <n v="6206"/>
    <n v="88721"/>
    <n v="25456"/>
    <n v="124898"/>
    <n v="7.0000000000000007E-2"/>
    <n v="0.22899999999999998"/>
    <n v="0.184"/>
    <n v="358.61"/>
    <n v="2097.9700000000003"/>
    <n v="1421.174"/>
    <n v="20317.108999999997"/>
    <n v="21738.282999999996"/>
    <n v="22981.232"/>
  </r>
  <r>
    <x v="18"/>
    <x v="0"/>
    <s v="Urban"/>
    <n v="69856"/>
    <n v="1935"/>
    <n v="12037"/>
    <n v="2058"/>
    <n v="37914"/>
    <n v="15912"/>
    <n v="52009"/>
    <n v="8.900000000000001E-2"/>
    <n v="0.23199999999999998"/>
    <n v="0.193"/>
    <n v="172.21500000000003"/>
    <n v="1071.2930000000001"/>
    <n v="477.45599999999996"/>
    <n v="8796.0479999999989"/>
    <n v="9273.503999999999"/>
    <n v="10037.737000000001"/>
  </r>
  <r>
    <x v="19"/>
    <x v="1"/>
    <s v="Rural"/>
    <n v="27608"/>
    <n v="693"/>
    <n v="4253"/>
    <n v="849"/>
    <n v="14242"/>
    <n v="7571"/>
    <n v="19344"/>
    <n v="9.1999999999999998E-2"/>
    <n v="0.26400000000000001"/>
    <n v="0.221"/>
    <n v="63.756"/>
    <n v="391.27600000000001"/>
    <n v="224.13600000000002"/>
    <n v="3759.8880000000004"/>
    <n v="3984.0240000000003"/>
    <n v="4275.0240000000003"/>
  </r>
  <r>
    <x v="20"/>
    <x v="3"/>
    <s v="Rural"/>
    <n v="14884"/>
    <n v="462"/>
    <n v="2662"/>
    <n v="535"/>
    <n v="7915"/>
    <n v="3310"/>
    <n v="11112"/>
    <n v="7.0999999999999994E-2"/>
    <n v="0.221"/>
    <n v="0.18"/>
    <n v="32.802"/>
    <n v="189.00199999999998"/>
    <n v="118.235"/>
    <n v="1749.2149999999999"/>
    <n v="1867.4499999999998"/>
    <n v="2000.1599999999999"/>
  </r>
  <r>
    <x v="21"/>
    <x v="1"/>
    <s v="Rural"/>
    <n v="11007"/>
    <n v="277"/>
    <n v="1662"/>
    <n v="335"/>
    <n v="5646"/>
    <n v="3087"/>
    <n v="7643"/>
    <n v="0.10199999999999999"/>
    <n v="0.25900000000000001"/>
    <n v="0.21899999999999997"/>
    <n v="28.253999999999998"/>
    <n v="169.524"/>
    <n v="86.765000000000001"/>
    <n v="1462.3140000000001"/>
    <n v="1549.0790000000002"/>
    <n v="1673.8169999999998"/>
  </r>
  <r>
    <x v="22"/>
    <x v="5"/>
    <s v="Rural"/>
    <n v="97071"/>
    <n v="3045"/>
    <n v="18151"/>
    <n v="4338"/>
    <n v="54651"/>
    <n v="16886"/>
    <n v="77140"/>
    <n v="5.2999999999999999E-2"/>
    <n v="0.20699999999999999"/>
    <n v="0.16500000000000001"/>
    <n v="161.38499999999999"/>
    <n v="962.00299999999993"/>
    <n v="897.96600000000001"/>
    <n v="11312.757"/>
    <n v="12210.723"/>
    <n v="12728.1"/>
  </r>
  <r>
    <x v="23"/>
    <x v="4"/>
    <s v="Rural"/>
    <n v="57732"/>
    <n v="1839"/>
    <n v="10816"/>
    <n v="2301"/>
    <n v="32662"/>
    <n v="10114"/>
    <n v="45779"/>
    <n v="7.2999999999999995E-2"/>
    <n v="0.25900000000000001"/>
    <n v="0.20499999999999999"/>
    <n v="134.24699999999999"/>
    <n v="789.56799999999998"/>
    <n v="595.95900000000006"/>
    <n v="8459.4580000000005"/>
    <n v="9055.4170000000013"/>
    <n v="9384.6949999999997"/>
  </r>
  <r>
    <x v="24"/>
    <x v="3"/>
    <s v="Urban"/>
    <n v="104521"/>
    <n v="4524"/>
    <n v="21472"/>
    <n v="4704"/>
    <n v="56449"/>
    <n v="17372"/>
    <n v="82625"/>
    <n v="6.5000000000000002E-2"/>
    <n v="0.21199999999999999"/>
    <n v="0.16899999999999998"/>
    <n v="294.06"/>
    <n v="1395.68"/>
    <n v="997.24799999999993"/>
    <n v="11967.188"/>
    <n v="12964.436"/>
    <n v="13963.624999999998"/>
  </r>
  <r>
    <x v="25"/>
    <x v="6"/>
    <s v="Urban"/>
    <n v="336304"/>
    <n v="16032"/>
    <n v="73756"/>
    <n v="15648"/>
    <n v="193320"/>
    <n v="37548"/>
    <n v="282724"/>
    <n v="5.5E-2"/>
    <n v="0.2"/>
    <n v="0.157"/>
    <n v="881.76"/>
    <n v="4056.58"/>
    <n v="3129.6000000000004"/>
    <n v="38664"/>
    <n v="41793.599999999999"/>
    <n v="44387.667999999998"/>
  </r>
  <r>
    <x v="26"/>
    <x v="3"/>
    <s v="Urban"/>
    <n v="25171"/>
    <n v="752"/>
    <n v="4598"/>
    <n v="944"/>
    <n v="15093"/>
    <n v="3784"/>
    <n v="20635"/>
    <n v="8.8000000000000009E-2"/>
    <n v="0.21"/>
    <n v="0.17800000000000002"/>
    <n v="66.176000000000002"/>
    <n v="404.62400000000002"/>
    <n v="198.23999999999998"/>
    <n v="3169.5299999999997"/>
    <n v="3367.7699999999995"/>
    <n v="3673.03"/>
  </r>
  <r>
    <x v="27"/>
    <x v="3"/>
    <s v="Rural"/>
    <n v="36059"/>
    <n v="1151"/>
    <n v="5827"/>
    <n v="899"/>
    <n v="21363"/>
    <n v="6819"/>
    <n v="28089"/>
    <n v="0.1"/>
    <n v="0.23800000000000002"/>
    <n v="0.20399999999999999"/>
    <n v="115.10000000000001"/>
    <n v="582.70000000000005"/>
    <n v="213.96200000000002"/>
    <n v="5084.3940000000002"/>
    <n v="5298.3560000000007"/>
    <n v="5730.1559999999999"/>
  </r>
  <r>
    <x v="28"/>
    <x v="0"/>
    <s v="Urban"/>
    <n v="164341"/>
    <n v="5199"/>
    <n v="31310"/>
    <n v="5784"/>
    <n v="94525"/>
    <n v="27523"/>
    <n v="131619"/>
    <n v="6.0999999999999999E-2"/>
    <n v="0.21899999999999997"/>
    <n v="0.17499999999999999"/>
    <n v="317.13900000000001"/>
    <n v="1909.9099999999999"/>
    <n v="1266.6959999999999"/>
    <n v="20700.974999999999"/>
    <n v="21967.670999999998"/>
    <n v="23033.324999999997"/>
  </r>
  <r>
    <x v="29"/>
    <x v="7"/>
    <s v="Urban"/>
    <n v="41729"/>
    <n v="1229"/>
    <n v="7580"/>
    <n v="1527"/>
    <n v="23420"/>
    <n v="7973"/>
    <n v="32527"/>
    <n v="8.5999999999999993E-2"/>
    <n v="0.22"/>
    <n v="0.182"/>
    <n v="105.69399999999999"/>
    <n v="651.88"/>
    <n v="335.94"/>
    <n v="5152.3999999999996"/>
    <n v="5488.3399999999992"/>
    <n v="5919.9139999999998"/>
  </r>
  <r>
    <x v="30"/>
    <x v="4"/>
    <s v="Rural"/>
    <n v="60742"/>
    <n v="2216"/>
    <n v="12552"/>
    <n v="2373"/>
    <n v="33525"/>
    <n v="10076"/>
    <n v="48450"/>
    <n v="0.10199999999999999"/>
    <n v="0.33"/>
    <n v="0.26200000000000001"/>
    <n v="226.03199999999998"/>
    <n v="1280.3039999999999"/>
    <n v="783.09"/>
    <n v="11063.25"/>
    <n v="11846.34"/>
    <n v="12693.9"/>
  </r>
  <r>
    <x v="31"/>
    <x v="6"/>
    <s v="Urban"/>
    <n v="296492"/>
    <n v="12519"/>
    <n v="56030"/>
    <n v="14040"/>
    <n v="180105"/>
    <n v="33798"/>
    <n v="250175"/>
    <n v="6.9000000000000006E-2"/>
    <n v="0.217"/>
    <n v="0.17800000000000002"/>
    <n v="863.81100000000004"/>
    <n v="3866.07"/>
    <n v="3046.68"/>
    <n v="39082.784999999996"/>
    <n v="42129.464999999997"/>
    <n v="44531.15"/>
  </r>
  <r>
    <x v="32"/>
    <x v="4"/>
    <s v="Urban"/>
    <n v="55467"/>
    <n v="1765"/>
    <n v="10972"/>
    <n v="2205"/>
    <n v="31039"/>
    <n v="9486"/>
    <n v="44216"/>
    <n v="5.0999999999999997E-2"/>
    <n v="0.21899999999999997"/>
    <n v="0.17199999999999999"/>
    <n v="90.015000000000001"/>
    <n v="559.572"/>
    <n v="482.89499999999992"/>
    <n v="6797.5409999999993"/>
    <n v="7280.4359999999988"/>
    <n v="7605.1519999999991"/>
  </r>
  <r>
    <x v="33"/>
    <x v="7"/>
    <s v="Urban"/>
    <n v="365397"/>
    <n v="13358"/>
    <n v="72798"/>
    <n v="15135"/>
    <n v="210393"/>
    <n v="53713"/>
    <n v="298326"/>
    <n v="0.06"/>
    <n v="0.22"/>
    <n v="0.17399999999999999"/>
    <n v="801.48"/>
    <n v="4367.88"/>
    <n v="3329.7"/>
    <n v="46286.46"/>
    <n v="49616.159999999996"/>
    <n v="51908.723999999995"/>
  </r>
  <r>
    <x v="34"/>
    <x v="0"/>
    <s v="Urban"/>
    <n v="64185"/>
    <n v="2015"/>
    <n v="12547"/>
    <n v="2494"/>
    <n v="37215"/>
    <n v="9914"/>
    <n v="52256"/>
    <n v="8.199999999999999E-2"/>
    <n v="0.23699999999999999"/>
    <n v="0.193"/>
    <n v="165.23"/>
    <n v="1028.8539999999998"/>
    <n v="591.07799999999997"/>
    <n v="8819.9549999999999"/>
    <n v="9411.0329999999994"/>
    <n v="10085.407999999999"/>
  </r>
  <r>
    <x v="35"/>
    <x v="5"/>
    <s v="Urban"/>
    <n v="212238"/>
    <n v="7224"/>
    <n v="41313"/>
    <n v="8196"/>
    <n v="123415"/>
    <n v="32090"/>
    <n v="172924"/>
    <n v="7.0999999999999994E-2"/>
    <n v="0.223"/>
    <n v="0.18100000000000002"/>
    <n v="512.904"/>
    <n v="2933.223"/>
    <n v="1827.7080000000001"/>
    <n v="27521.545000000002"/>
    <n v="29349.253000000001"/>
    <n v="31299.244000000002"/>
  </r>
  <r>
    <x v="36"/>
    <x v="3"/>
    <s v="Urban"/>
    <n v="11470"/>
    <n v="310"/>
    <n v="1965"/>
    <n v="470"/>
    <n v="6659"/>
    <n v="2066"/>
    <n v="9094"/>
    <n v="0.08"/>
    <n v="0.19899999999999998"/>
    <n v="0.16699999999999998"/>
    <n v="24.8"/>
    <n v="157.20000000000002"/>
    <n v="93.529999999999987"/>
    <n v="1325.1409999999998"/>
    <n v="1418.6709999999998"/>
    <n v="1518.6979999999999"/>
  </r>
  <r>
    <x v="37"/>
    <x v="1"/>
    <s v="Rural"/>
    <n v="9057"/>
    <n v="281"/>
    <n v="1603"/>
    <n v="330"/>
    <n v="4782"/>
    <n v="2061"/>
    <n v="6715"/>
    <n v="9.0999999999999998E-2"/>
    <n v="0.26899999999999996"/>
    <n v="0.22"/>
    <n v="25.570999999999998"/>
    <n v="145.87299999999999"/>
    <n v="88.769999999999982"/>
    <n v="1286.3579999999997"/>
    <n v="1375.1279999999997"/>
    <n v="1477.3"/>
  </r>
  <r>
    <x v="38"/>
    <x v="0"/>
    <s v="Rural"/>
    <n v="58108"/>
    <n v="1596"/>
    <n v="10205"/>
    <n v="2542"/>
    <n v="34848"/>
    <n v="8917"/>
    <n v="47595"/>
    <n v="6.9000000000000006E-2"/>
    <n v="0.20100000000000001"/>
    <n v="0.16500000000000001"/>
    <n v="110.12400000000001"/>
    <n v="704.1450000000001"/>
    <n v="510.94200000000001"/>
    <n v="7004.4480000000003"/>
    <n v="7515.39"/>
    <n v="7853.1750000000002"/>
  </r>
  <r>
    <x v="39"/>
    <x v="4"/>
    <s v="Rural"/>
    <n v="21046"/>
    <n v="602"/>
    <n v="4038"/>
    <n v="698"/>
    <n v="12595"/>
    <n v="3113"/>
    <n v="17331"/>
    <n v="0.10099999999999999"/>
    <n v="0.27399999999999997"/>
    <n v="0.22399999999999998"/>
    <n v="60.801999999999992"/>
    <n v="407.83799999999997"/>
    <n v="191.25199999999998"/>
    <n v="3451.0299999999997"/>
    <n v="3642.2819999999997"/>
    <n v="3882.1439999999998"/>
  </r>
  <r>
    <x v="40"/>
    <x v="2"/>
    <s v="Urban"/>
    <n v="518113"/>
    <n v="17497"/>
    <n v="97370"/>
    <n v="26994"/>
    <n v="303133"/>
    <n v="73119"/>
    <n v="427497"/>
    <n v="6.4000000000000001E-2"/>
    <n v="0.22600000000000001"/>
    <n v="0.18100000000000002"/>
    <n v="1119.808"/>
    <n v="6231.68"/>
    <n v="6100.6440000000002"/>
    <n v="68508.058000000005"/>
    <n v="74608.702000000005"/>
    <n v="77376.957000000009"/>
  </r>
  <r>
    <x v="41"/>
    <x v="0"/>
    <s v="Rural"/>
    <n v="53105"/>
    <n v="1587"/>
    <n v="9848"/>
    <n v="1803"/>
    <n v="30000"/>
    <n v="9867"/>
    <n v="41651"/>
    <n v="5.7000000000000002E-2"/>
    <n v="0.21199999999999999"/>
    <n v="0.17"/>
    <n v="90.459000000000003"/>
    <n v="561.33600000000001"/>
    <n v="382.23599999999999"/>
    <n v="6360"/>
    <n v="6742.2359999999999"/>
    <n v="7080.67"/>
  </r>
  <r>
    <x v="42"/>
    <x v="2"/>
    <s v="Rural"/>
    <n v="127777"/>
    <n v="5360"/>
    <n v="29339"/>
    <n v="5763"/>
    <n v="72067"/>
    <n v="15248"/>
    <n v="107169"/>
    <n v="7.0000000000000007E-2"/>
    <n v="0.24399999999999999"/>
    <n v="0.188"/>
    <n v="375.20000000000005"/>
    <n v="2053.73"/>
    <n v="1406.172"/>
    <n v="17584.347999999998"/>
    <n v="18990.519999999997"/>
    <n v="20147.772000000001"/>
  </r>
  <r>
    <x v="43"/>
    <x v="1"/>
    <s v="Urban"/>
    <n v="60218"/>
    <n v="1671"/>
    <n v="9435"/>
    <n v="1889"/>
    <n v="32684"/>
    <n v="14539"/>
    <n v="44008"/>
    <n v="7.400000000000001E-2"/>
    <n v="0.223"/>
    <n v="0.18600000000000003"/>
    <n v="123.65400000000001"/>
    <n v="698.19"/>
    <n v="421.24700000000001"/>
    <n v="7288.5320000000002"/>
    <n v="7709.7790000000005"/>
    <n v="8185.4880000000012"/>
  </r>
  <r>
    <x v="44"/>
    <x v="1"/>
    <s v="Urban"/>
    <n v="111173"/>
    <n v="3253"/>
    <n v="18765"/>
    <n v="3139"/>
    <n v="58159"/>
    <n v="27857"/>
    <n v="80063"/>
    <n v="8.199999999999999E-2"/>
    <n v="0.24600000000000002"/>
    <n v="0.20199999999999999"/>
    <n v="266.74599999999998"/>
    <n v="1538.7299999999998"/>
    <n v="772.19400000000007"/>
    <n v="14307.114000000001"/>
    <n v="15079.308000000001"/>
    <n v="16172.725999999999"/>
  </r>
  <r>
    <x v="45"/>
    <x v="3"/>
    <s v="Rural"/>
    <n v="24560"/>
    <n v="654"/>
    <n v="4195"/>
    <n v="1269"/>
    <n v="14085"/>
    <n v="4357"/>
    <n v="19549"/>
    <n v="5.5999999999999994E-2"/>
    <n v="0.215"/>
    <n v="0.17199999999999999"/>
    <n v="36.623999999999995"/>
    <n v="234.92"/>
    <n v="272.83499999999998"/>
    <n v="3028.2750000000001"/>
    <n v="3301.11"/>
    <n v="3362.4279999999999"/>
  </r>
  <r>
    <x v="46"/>
    <x v="2"/>
    <s v="Urban"/>
    <n v="52259"/>
    <n v="2691"/>
    <n v="13445"/>
    <n v="2032"/>
    <n v="29529"/>
    <n v="4562"/>
    <n v="45006"/>
    <n v="8.1000000000000003E-2"/>
    <n v="0.26600000000000001"/>
    <n v="0.20600000000000002"/>
    <n v="217.971"/>
    <n v="1089.0450000000001"/>
    <n v="540.51200000000006"/>
    <n v="7854.7140000000009"/>
    <n v="8395.2260000000006"/>
    <n v="9271.2360000000008"/>
  </r>
  <r>
    <x v="47"/>
    <x v="3"/>
    <s v="Rural"/>
    <n v="5895"/>
    <n v="152"/>
    <n v="859"/>
    <n v="185"/>
    <n v="3659"/>
    <n v="1040"/>
    <n v="4703"/>
    <n v="0.125"/>
    <n v="0.27"/>
    <n v="0.23300000000000001"/>
    <n v="19"/>
    <n v="107.375"/>
    <n v="49.95"/>
    <n v="987.93000000000006"/>
    <n v="1037.8800000000001"/>
    <n v="1095.799"/>
  </r>
  <r>
    <x v="48"/>
    <x v="5"/>
    <s v="Urban"/>
    <n v="169005"/>
    <n v="5405"/>
    <n v="33695"/>
    <n v="6718"/>
    <n v="98158"/>
    <n v="25029"/>
    <n v="138571"/>
    <n v="7.0000000000000007E-2"/>
    <n v="0.223"/>
    <n v="0.17800000000000002"/>
    <n v="378.35"/>
    <n v="2358.65"/>
    <n v="1498.114"/>
    <n v="21889.234"/>
    <n v="23387.348000000002"/>
    <n v="24665.638000000003"/>
  </r>
  <r>
    <x v="49"/>
    <x v="1"/>
    <s v="Rural"/>
    <n v="41070"/>
    <n v="1117"/>
    <n v="6119"/>
    <n v="3815"/>
    <n v="22475"/>
    <n v="7544"/>
    <n v="32409"/>
    <n v="0.1"/>
    <n v="0.28999999999999998"/>
    <n v="0.245"/>
    <n v="111.7"/>
    <n v="611.9"/>
    <n v="1106.3499999999999"/>
    <n v="6517.75"/>
    <n v="7624.1"/>
    <n v="7940.2049999999999"/>
  </r>
  <r>
    <x v="50"/>
    <x v="6"/>
    <s v="Urban"/>
    <n v="182580"/>
    <n v="6841"/>
    <n v="40872"/>
    <n v="7063"/>
    <n v="105186"/>
    <n v="22618"/>
    <n v="153121"/>
    <n v="7.8E-2"/>
    <n v="0.24600000000000002"/>
    <n v="0.193"/>
    <n v="533.59799999999996"/>
    <n v="3188.0160000000001"/>
    <n v="1737.4980000000003"/>
    <n v="25875.756000000001"/>
    <n v="27613.254000000001"/>
    <n v="29552.352999999999"/>
  </r>
  <r>
    <x v="51"/>
    <x v="3"/>
    <s v="Urban"/>
    <n v="10601"/>
    <n v="308"/>
    <n v="1862"/>
    <n v="294"/>
    <n v="6086"/>
    <n v="2051"/>
    <n v="8242"/>
    <n v="9.4E-2"/>
    <n v="0.255"/>
    <n v="0.215"/>
    <n v="28.952000000000002"/>
    <n v="175.02799999999999"/>
    <n v="74.97"/>
    <n v="1551.93"/>
    <n v="1626.9"/>
    <n v="1772.03"/>
  </r>
  <r>
    <x v="52"/>
    <x v="2"/>
    <s v="Rural"/>
    <n v="60962"/>
    <n v="2405"/>
    <n v="12794"/>
    <n v="2356"/>
    <n v="33972"/>
    <n v="9435"/>
    <n v="49122"/>
    <n v="8.4000000000000005E-2"/>
    <n v="0.26899999999999996"/>
    <n v="0.21199999999999999"/>
    <n v="202.02"/>
    <n v="1074.6960000000001"/>
    <n v="633.7639999999999"/>
    <n v="9138.4679999999989"/>
    <n v="9772.2319999999982"/>
    <n v="10413.864"/>
  </r>
  <r>
    <x v="53"/>
    <x v="4"/>
    <s v="Rural"/>
    <n v="58950"/>
    <n v="1895"/>
    <n v="11377"/>
    <n v="2192"/>
    <n v="32853"/>
    <n v="10633"/>
    <n v="46422"/>
    <n v="6.3E-2"/>
    <n v="0.245"/>
    <n v="0.19399999999999998"/>
    <n v="119.38500000000001"/>
    <n v="716.75099999999998"/>
    <n v="537.04"/>
    <n v="8048.9849999999997"/>
    <n v="8586.0249999999996"/>
    <n v="9005.8679999999986"/>
  </r>
  <r>
    <x v="54"/>
    <x v="5"/>
    <s v="Urban"/>
    <n v="80813"/>
    <n v="2339"/>
    <n v="14899"/>
    <n v="3049"/>
    <n v="47422"/>
    <n v="13104"/>
    <n v="65370"/>
    <n v="8.199999999999999E-2"/>
    <n v="0.22399999999999998"/>
    <n v="0.18600000000000003"/>
    <n v="191.79799999999997"/>
    <n v="1221.7179999999998"/>
    <n v="682.97599999999989"/>
    <n v="10622.527999999998"/>
    <n v="11305.503999999999"/>
    <n v="12158.820000000002"/>
  </r>
  <r>
    <x v="55"/>
    <x v="1"/>
    <s v="Rural"/>
    <n v="34179"/>
    <n v="1037"/>
    <n v="5426"/>
    <n v="1087"/>
    <n v="17347"/>
    <n v="9282"/>
    <n v="23860"/>
    <n v="0.111"/>
    <n v="0.30199999999999999"/>
    <n v="0.253"/>
    <n v="115.107"/>
    <n v="602.28600000000006"/>
    <n v="328.274"/>
    <n v="5238.7939999999999"/>
    <n v="5567.0680000000002"/>
    <n v="6036.58"/>
  </r>
  <r>
    <x v="56"/>
    <x v="1"/>
    <s v="Urban"/>
    <n v="21508"/>
    <n v="560"/>
    <n v="3379"/>
    <n v="1246"/>
    <n v="11849"/>
    <n v="4474"/>
    <n v="16474"/>
    <n v="6.9000000000000006E-2"/>
    <n v="0.214"/>
    <n v="0.17699999999999999"/>
    <n v="38.64"/>
    <n v="233.15100000000001"/>
    <n v="266.64400000000001"/>
    <n v="2535.6860000000001"/>
    <n v="2802.33"/>
    <n v="2915.8979999999997"/>
  </r>
  <r>
    <x v="57"/>
    <x v="3"/>
    <s v="Rural"/>
    <n v="23448"/>
    <n v="705"/>
    <n v="4180"/>
    <n v="703"/>
    <n v="13000"/>
    <n v="4860"/>
    <n v="17883"/>
    <n v="6.6000000000000003E-2"/>
    <n v="0.21"/>
    <n v="0.17199999999999999"/>
    <n v="46.53"/>
    <n v="275.88"/>
    <n v="147.63"/>
    <n v="2730"/>
    <n v="2877.63"/>
    <n v="3075.8759999999997"/>
  </r>
  <r>
    <x v="58"/>
    <x v="1"/>
    <s v="Rural"/>
    <n v="45317"/>
    <n v="1331"/>
    <n v="7949"/>
    <n v="1573"/>
    <n v="25792"/>
    <n v="8672"/>
    <n v="35314"/>
    <n v="6.3E-2"/>
    <n v="0.21899999999999997"/>
    <n v="0.17800000000000002"/>
    <n v="83.852999999999994"/>
    <n v="500.78699999999998"/>
    <n v="344.48699999999997"/>
    <n v="5648.4479999999994"/>
    <n v="5992.9349999999995"/>
    <n v="6285.8920000000007"/>
  </r>
  <r>
    <x v="59"/>
    <x v="0"/>
    <s v="Urban"/>
    <n v="1032073"/>
    <n v="41410"/>
    <n v="208925"/>
    <n v="36361"/>
    <n v="638333"/>
    <n v="107044"/>
    <n v="883619"/>
    <n v="7.0999999999999994E-2"/>
    <n v="0.23"/>
    <n v="0.185"/>
    <n v="2940.1099999999997"/>
    <n v="14833.674999999999"/>
    <n v="8363.0300000000007"/>
    <n v="146816.59"/>
    <n v="155179.62"/>
    <n v="163469.51499999998"/>
  </r>
  <r>
    <x v="60"/>
    <x v="1"/>
    <s v="Rural"/>
    <n v="15337"/>
    <n v="452"/>
    <n v="2381"/>
    <n v="371"/>
    <n v="8614"/>
    <n v="3519"/>
    <n v="11366"/>
    <n v="7.2999999999999995E-2"/>
    <n v="0.22399999999999998"/>
    <n v="0.187"/>
    <n v="32.995999999999995"/>
    <n v="173.81299999999999"/>
    <n v="83.103999999999985"/>
    <n v="1929.5359999999998"/>
    <n v="2012.6399999999999"/>
    <n v="2125.442"/>
  </r>
  <r>
    <x v="61"/>
    <x v="2"/>
    <s v="Rural"/>
    <n v="27716"/>
    <n v="904"/>
    <n v="5369"/>
    <n v="1133"/>
    <n v="15033"/>
    <n v="5277"/>
    <n v="21535"/>
    <n v="0.09"/>
    <n v="0.29100000000000004"/>
    <n v="0.23199999999999998"/>
    <n v="81.36"/>
    <n v="483.21"/>
    <n v="329.70300000000003"/>
    <n v="4374.603000000001"/>
    <n v="4704.3060000000014"/>
    <n v="4996.12"/>
  </r>
  <r>
    <x v="62"/>
    <x v="2"/>
    <s v="Rural"/>
    <n v="94254"/>
    <n v="2954"/>
    <n v="16739"/>
    <n v="3017"/>
    <n v="47869"/>
    <n v="23675"/>
    <n v="67625"/>
    <n v="7.4999999999999997E-2"/>
    <n v="0.21"/>
    <n v="0.17100000000000001"/>
    <n v="221.54999999999998"/>
    <n v="1255.425"/>
    <n v="633.56999999999994"/>
    <n v="10052.49"/>
    <n v="10686.06"/>
    <n v="11563.875"/>
  </r>
  <r>
    <x v="63"/>
    <x v="4"/>
    <s v="Urban"/>
    <n v="94056"/>
    <n v="3074"/>
    <n v="17752"/>
    <n v="3505"/>
    <n v="53974"/>
    <n v="15751"/>
    <n v="75231"/>
    <n v="6.7000000000000004E-2"/>
    <n v="0.22"/>
    <n v="0.17699999999999999"/>
    <n v="205.958"/>
    <n v="1189.384"/>
    <n v="771.1"/>
    <n v="11874.28"/>
    <n v="12645.380000000001"/>
    <n v="13315.886999999999"/>
  </r>
  <r>
    <x v="64"/>
    <x v="3"/>
    <s v="Urban"/>
    <n v="221590"/>
    <n v="6543"/>
    <n v="35322"/>
    <n v="11820"/>
    <n v="132369"/>
    <n v="35536"/>
    <n v="179511"/>
    <n v="6.5000000000000002E-2"/>
    <n v="0.22600000000000001"/>
    <n v="0.18600000000000003"/>
    <n v="425.29500000000002"/>
    <n v="2295.9300000000003"/>
    <n v="2671.32"/>
    <n v="29915.394"/>
    <n v="32586.714"/>
    <n v="33389.046000000002"/>
  </r>
  <r>
    <x v="65"/>
    <x v="3"/>
    <s v="Rural"/>
    <n v="20720"/>
    <n v="543"/>
    <n v="3425"/>
    <n v="535"/>
    <n v="11640"/>
    <n v="4577"/>
    <n v="15600"/>
    <n v="5.5999999999999994E-2"/>
    <n v="0.19899999999999998"/>
    <n v="0.16200000000000001"/>
    <n v="30.407999999999998"/>
    <n v="191.79999999999998"/>
    <n v="106.46499999999999"/>
    <n v="2316.3599999999997"/>
    <n v="2422.8249999999998"/>
    <n v="2527.2000000000003"/>
  </r>
  <r>
    <x v="66"/>
    <x v="3"/>
    <s v="Urban"/>
    <n v="200922"/>
    <n v="12797"/>
    <n v="44088"/>
    <n v="14823"/>
    <n v="112046"/>
    <n v="17168"/>
    <n v="170957"/>
    <n v="6.4000000000000001E-2"/>
    <n v="0.20199999999999999"/>
    <n v="0.159"/>
    <n v="819.00800000000004"/>
    <n v="2821.6320000000001"/>
    <n v="2994.2459999999996"/>
    <n v="22633.291999999998"/>
    <n v="25627.537999999997"/>
    <n v="27182.163"/>
  </r>
  <r>
    <x v="67"/>
    <x v="0"/>
    <s v="Urban"/>
    <n v="143063"/>
    <n v="3688"/>
    <n v="24245"/>
    <n v="12235"/>
    <n v="85617"/>
    <n v="17278"/>
    <n v="122097"/>
    <n v="7.2999999999999995E-2"/>
    <n v="0.18"/>
    <n v="0.153"/>
    <n v="269.22399999999999"/>
    <n v="1769.885"/>
    <n v="2202.2999999999997"/>
    <n v="15411.06"/>
    <n v="17613.36"/>
    <n v="18680.841"/>
  </r>
  <r>
    <x v="68"/>
    <x v="3"/>
    <s v="Urban"/>
    <n v="13067"/>
    <n v="291"/>
    <n v="1843"/>
    <n v="327"/>
    <n v="7128"/>
    <n v="3478"/>
    <n v="9298"/>
    <n v="0.10800000000000001"/>
    <n v="0.22899999999999998"/>
    <n v="0.19899999999999998"/>
    <n v="31.428000000000004"/>
    <n v="199.04400000000001"/>
    <n v="74.882999999999996"/>
    <n v="1632.3119999999999"/>
    <n v="1707.1949999999999"/>
    <n v="1850.3019999999999"/>
  </r>
  <r>
    <x v="69"/>
    <x v="3"/>
    <s v="Rural"/>
    <n v="38919"/>
    <n v="1330"/>
    <n v="7579"/>
    <n v="2172"/>
    <n v="22001"/>
    <n v="5837"/>
    <n v="31752"/>
    <n v="0.06"/>
    <n v="0.214"/>
    <n v="0.17100000000000001"/>
    <n v="79.8"/>
    <n v="454.74"/>
    <n v="464.80799999999999"/>
    <n v="4708.2139999999999"/>
    <n v="5173.0219999999999"/>
    <n v="5429.5920000000006"/>
  </r>
  <r>
    <x v="70"/>
    <x v="3"/>
    <s v="Urban"/>
    <n v="57689"/>
    <n v="1778"/>
    <n v="10359"/>
    <n v="2138"/>
    <n v="33440"/>
    <n v="9974"/>
    <n v="45937"/>
    <n v="8.199999999999999E-2"/>
    <n v="0.247"/>
    <n v="0.20199999999999999"/>
    <n v="145.79599999999999"/>
    <n v="849.43799999999987"/>
    <n v="528.08600000000001"/>
    <n v="8259.68"/>
    <n v="8787.7659999999996"/>
    <n v="9279.2739999999994"/>
  </r>
  <r>
    <x v="71"/>
    <x v="3"/>
    <s v="Rural"/>
    <n v="14013"/>
    <n v="401"/>
    <n v="2288"/>
    <n v="373"/>
    <n v="7365"/>
    <n v="3586"/>
    <n v="10026"/>
    <n v="7.2999999999999995E-2"/>
    <n v="0.20699999999999999"/>
    <n v="0.17100000000000001"/>
    <n v="29.273"/>
    <n v="167.024"/>
    <n v="77.210999999999999"/>
    <n v="1524.5549999999998"/>
    <n v="1601.7659999999998"/>
    <n v="1714.4460000000001"/>
  </r>
  <r>
    <x v="72"/>
    <x v="0"/>
    <s v="Urban"/>
    <n v="39254"/>
    <n v="1240"/>
    <n v="7155"/>
    <n v="1247"/>
    <n v="22663"/>
    <n v="6949"/>
    <n v="31065"/>
    <n v="6.5000000000000002E-2"/>
    <n v="0.20399999999999999"/>
    <n v="0.16600000000000001"/>
    <n v="80.600000000000009"/>
    <n v="465.07499999999999"/>
    <n v="254.38799999999998"/>
    <n v="4623.2519999999995"/>
    <n v="4877.6399999999994"/>
    <n v="5156.79"/>
  </r>
  <r>
    <x v="73"/>
    <x v="3"/>
    <s v="Urban"/>
    <n v="176749"/>
    <n v="5885"/>
    <n v="32684"/>
    <n v="14969"/>
    <n v="102399"/>
    <n v="20812"/>
    <n v="150052"/>
    <n v="0.06"/>
    <n v="0.218"/>
    <n v="0.17699999999999999"/>
    <n v="353.09999999999997"/>
    <n v="1961.04"/>
    <n v="3263.2420000000002"/>
    <n v="22322.982"/>
    <n v="25586.224000000002"/>
    <n v="26559.203999999998"/>
  </r>
  <r>
    <x v="74"/>
    <x v="1"/>
    <s v="Rural"/>
    <n v="20754"/>
    <n v="459"/>
    <n v="3078"/>
    <n v="617"/>
    <n v="10893"/>
    <n v="5707"/>
    <n v="14588"/>
    <n v="0.11199999999999999"/>
    <n v="0.25"/>
    <n v="0.21600000000000003"/>
    <n v="51.407999999999994"/>
    <n v="344.73599999999999"/>
    <n v="154.25"/>
    <n v="2723.25"/>
    <n v="2877.5"/>
    <n v="3151.0080000000003"/>
  </r>
  <r>
    <x v="75"/>
    <x v="2"/>
    <s v="Urban"/>
    <n v="142599"/>
    <n v="4714"/>
    <n v="27950"/>
    <n v="5816"/>
    <n v="80879"/>
    <n v="23240"/>
    <n v="114645"/>
    <n v="8.4000000000000005E-2"/>
    <n v="0.26100000000000001"/>
    <n v="0.21"/>
    <n v="395.976"/>
    <n v="2347.8000000000002"/>
    <n v="1517.9760000000001"/>
    <n v="21109.419000000002"/>
    <n v="22627.395"/>
    <n v="24075.45"/>
  </r>
  <r>
    <x v="76"/>
    <x v="2"/>
    <s v="Rural"/>
    <n v="45988"/>
    <n v="1523"/>
    <n v="9165"/>
    <n v="2179"/>
    <n v="25619"/>
    <n v="7502"/>
    <n v="36963"/>
    <n v="6.8000000000000005E-2"/>
    <n v="0.25700000000000001"/>
    <n v="0.20199999999999999"/>
    <n v="103.56400000000001"/>
    <n v="623.22"/>
    <n v="560.00300000000004"/>
    <n v="6584.0830000000005"/>
    <n v="7144.0860000000002"/>
    <n v="7466.5259999999998"/>
  </r>
  <r>
    <x v="77"/>
    <x v="4"/>
    <s v="Rural"/>
    <n v="133305"/>
    <n v="5248"/>
    <n v="28141"/>
    <n v="7672"/>
    <n v="74183"/>
    <n v="18061"/>
    <n v="109996"/>
    <n v="7.4999999999999997E-2"/>
    <n v="0.32299999999999995"/>
    <n v="0.247"/>
    <n v="393.59999999999997"/>
    <n v="2110.5749999999998"/>
    <n v="2478.0559999999996"/>
    <n v="23961.108999999997"/>
    <n v="26439.164999999997"/>
    <n v="27169.011999999999"/>
  </r>
  <r>
    <x v="78"/>
    <x v="7"/>
    <s v="Urban"/>
    <n v="91316"/>
    <n v="2781"/>
    <n v="16178"/>
    <n v="3163"/>
    <n v="52241"/>
    <n v="16953"/>
    <n v="71582"/>
    <n v="6.6000000000000003E-2"/>
    <n v="0.223"/>
    <n v="0.182"/>
    <n v="183.54600000000002"/>
    <n v="1067.748"/>
    <n v="705.34900000000005"/>
    <n v="11649.743"/>
    <n v="12355.092000000001"/>
    <n v="13027.923999999999"/>
  </r>
  <r>
    <x v="79"/>
    <x v="0"/>
    <s v="Urban"/>
    <n v="139457"/>
    <n v="4473"/>
    <n v="26893"/>
    <n v="5684"/>
    <n v="79758"/>
    <n v="22649"/>
    <n v="112335"/>
    <n v="6.3E-2"/>
    <n v="0.24"/>
    <n v="0.19"/>
    <n v="281.79899999999998"/>
    <n v="1694.259"/>
    <n v="1364.1599999999999"/>
    <n v="19141.919999999998"/>
    <n v="20506.079999999998"/>
    <n v="21343.65"/>
  </r>
  <r>
    <x v="80"/>
    <x v="1"/>
    <s v="Rural"/>
    <n v="67359"/>
    <n v="2092"/>
    <n v="12116"/>
    <n v="2422"/>
    <n v="37394"/>
    <n v="13335"/>
    <n v="51932"/>
    <n v="6.2E-2"/>
    <n v="0.23"/>
    <n v="0.185"/>
    <n v="129.70400000000001"/>
    <n v="751.19200000000001"/>
    <n v="557.06000000000006"/>
    <n v="8600.6200000000008"/>
    <n v="9157.68"/>
    <n v="9607.42"/>
  </r>
  <r>
    <x v="81"/>
    <x v="4"/>
    <s v="Rural"/>
    <n v="64717"/>
    <n v="2438"/>
    <n v="13517"/>
    <n v="2651"/>
    <n v="35662"/>
    <n v="10449"/>
    <n v="51830"/>
    <n v="0.1"/>
    <n v="0.29899999999999999"/>
    <n v="0.24"/>
    <n v="243.8"/>
    <n v="1351.7"/>
    <n v="792.649"/>
    <n v="10662.938"/>
    <n v="11455.587"/>
    <n v="12439.199999999999"/>
  </r>
  <r>
    <x v="82"/>
    <x v="4"/>
    <s v="Rural"/>
    <n v="35952"/>
    <n v="1279"/>
    <n v="7256"/>
    <n v="1432"/>
    <n v="20207"/>
    <n v="5778"/>
    <n v="28895"/>
    <n v="6.2E-2"/>
    <n v="0.23499999999999999"/>
    <n v="0.183"/>
    <n v="79.298000000000002"/>
    <n v="449.87200000000001"/>
    <n v="336.52"/>
    <n v="4748.6449999999995"/>
    <n v="5085.1649999999991"/>
    <n v="5287.7849999999999"/>
  </r>
  <r>
    <x v="83"/>
    <x v="0"/>
    <s v="Rural"/>
    <n v="60820"/>
    <n v="1860"/>
    <n v="11089"/>
    <n v="2331"/>
    <n v="34759"/>
    <n v="10781"/>
    <n v="48179"/>
    <n v="6.9000000000000006E-2"/>
    <n v="0.222"/>
    <n v="0.18100000000000002"/>
    <n v="128.34"/>
    <n v="765.14100000000008"/>
    <n v="517.48199999999997"/>
    <n v="7716.4980000000005"/>
    <n v="8233.98"/>
    <n v="8720.3990000000013"/>
  </r>
  <r>
    <x v="84"/>
    <x v="7"/>
    <s v="Urban"/>
    <n v="46059"/>
    <n v="1227"/>
    <n v="7774"/>
    <n v="1480"/>
    <n v="27057"/>
    <n v="8521"/>
    <n v="36311"/>
    <n v="6.4000000000000001E-2"/>
    <n v="0.2"/>
    <n v="0.16500000000000001"/>
    <n v="78.528000000000006"/>
    <n v="497.536"/>
    <n v="296"/>
    <n v="5411.4000000000005"/>
    <n v="5707.4000000000005"/>
    <n v="5991.3150000000005"/>
  </r>
  <r>
    <x v="85"/>
    <x v="5"/>
    <s v="Rural"/>
    <n v="73341"/>
    <n v="2235"/>
    <n v="13628"/>
    <n v="3076"/>
    <n v="40776"/>
    <n v="13626"/>
    <n v="57480"/>
    <n v="7.4999999999999997E-2"/>
    <n v="0.251"/>
    <n v="0.20199999999999999"/>
    <n v="167.625"/>
    <n v="1022.0999999999999"/>
    <n v="772.07600000000002"/>
    <n v="10234.776"/>
    <n v="11006.851999999999"/>
    <n v="11610.96"/>
  </r>
  <r>
    <x v="86"/>
    <x v="1"/>
    <s v="Rural"/>
    <n v="14901"/>
    <n v="624"/>
    <n v="2882"/>
    <n v="509"/>
    <n v="8174"/>
    <n v="2712"/>
    <n v="11565"/>
    <n v="0.1"/>
    <n v="0.27399999999999997"/>
    <n v="0.22500000000000001"/>
    <n v="62.400000000000006"/>
    <n v="288.2"/>
    <n v="139.46599999999998"/>
    <n v="2239.6759999999999"/>
    <n v="2379.1419999999998"/>
    <n v="2602.125"/>
  </r>
  <r>
    <x v="87"/>
    <x v="1"/>
    <s v="Rural"/>
    <n v="33333"/>
    <n v="867"/>
    <n v="4759"/>
    <n v="1310"/>
    <n v="16621"/>
    <n v="9776"/>
    <n v="22690"/>
    <n v="0.08"/>
    <n v="0.24100000000000002"/>
    <n v="0.20199999999999999"/>
    <n v="69.36"/>
    <n v="380.72"/>
    <n v="315.71000000000004"/>
    <n v="4005.6610000000005"/>
    <n v="4321.371000000001"/>
    <n v="4583.38"/>
  </r>
  <r>
    <x v="88"/>
    <x v="3"/>
    <s v="Rural"/>
    <n v="4084"/>
    <n v="119"/>
    <n v="621"/>
    <n v="94"/>
    <n v="2472"/>
    <n v="778"/>
    <n v="3187"/>
    <n v="0.105"/>
    <n v="0.29499999999999998"/>
    <n v="0.245"/>
    <n v="12.494999999999999"/>
    <n v="65.204999999999998"/>
    <n v="27.729999999999997"/>
    <n v="729.24"/>
    <n v="756.97"/>
    <n v="780.81499999999994"/>
  </r>
  <r>
    <x v="89"/>
    <x v="0"/>
    <s v="Urban"/>
    <n v="219212"/>
    <n v="7767"/>
    <n v="51403"/>
    <n v="9675"/>
    <n v="124697"/>
    <n v="25670"/>
    <n v="185775"/>
    <n v="7.5999999999999998E-2"/>
    <n v="0.20399999999999999"/>
    <n v="0.161"/>
    <n v="590.29200000000003"/>
    <n v="3906.6279999999997"/>
    <n v="1973.6999999999998"/>
    <n v="25438.187999999998"/>
    <n v="27411.887999999999"/>
    <n v="29909.775000000001"/>
  </r>
  <r>
    <x v="90"/>
    <x v="0"/>
    <s v="Rural"/>
    <n v="44849"/>
    <n v="1579"/>
    <n v="9142"/>
    <n v="1738"/>
    <n v="24971"/>
    <n v="7419"/>
    <n v="35851"/>
    <n v="5.9000000000000004E-2"/>
    <n v="0.22899999999999998"/>
    <n v="0.18"/>
    <n v="93.161000000000001"/>
    <n v="539.37800000000004"/>
    <n v="398.00199999999995"/>
    <n v="5718.3589999999995"/>
    <n v="6116.360999999999"/>
    <n v="6453.1799999999994"/>
  </r>
  <r>
    <x v="91"/>
    <x v="6"/>
    <s v="Urban"/>
    <n v="1004455"/>
    <n v="37161"/>
    <n v="210151"/>
    <n v="40157"/>
    <n v="612147"/>
    <n v="104839"/>
    <n v="862455"/>
    <n v="5.7999999999999996E-2"/>
    <n v="0.18"/>
    <n v="0.14400000000000002"/>
    <n v="2155.3379999999997"/>
    <n v="12188.758"/>
    <n v="7228.2599999999993"/>
    <n v="110186.45999999999"/>
    <n v="117414.71999999999"/>
    <n v="124193.52000000002"/>
  </r>
  <r>
    <x v="92"/>
    <x v="0"/>
    <s v="Rural"/>
    <n v="20282"/>
    <n v="511"/>
    <n v="3288"/>
    <n v="548"/>
    <n v="11422"/>
    <n v="4513"/>
    <n v="15258"/>
    <n v="8.1000000000000003E-2"/>
    <n v="0.245"/>
    <n v="0.20199999999999999"/>
    <n v="41.390999999999998"/>
    <n v="266.32800000000003"/>
    <n v="134.26"/>
    <n v="2798.39"/>
    <n v="2932.6499999999996"/>
    <n v="3082.116"/>
  </r>
  <r>
    <x v="93"/>
    <x v="3"/>
    <s v="Rural"/>
    <n v="12691"/>
    <n v="403"/>
    <n v="2366"/>
    <n v="360"/>
    <n v="6856"/>
    <n v="2706"/>
    <n v="9582"/>
    <n v="6.9000000000000006E-2"/>
    <n v="0.21"/>
    <n v="0.17100000000000001"/>
    <n v="27.807000000000002"/>
    <n v="163.25400000000002"/>
    <n v="75.599999999999994"/>
    <n v="1439.76"/>
    <n v="1515.36"/>
    <n v="1638.5220000000002"/>
  </r>
  <r>
    <x v="94"/>
    <x v="1"/>
    <s v="Rural"/>
    <n v="53219"/>
    <n v="992"/>
    <n v="5875"/>
    <n v="8541"/>
    <n v="29862"/>
    <n v="7949"/>
    <n v="44278"/>
    <n v="7.8E-2"/>
    <n v="0.21"/>
    <n v="0.18600000000000003"/>
    <n v="77.376000000000005"/>
    <n v="458.25"/>
    <n v="1793.61"/>
    <n v="6271.0199999999995"/>
    <n v="8064.6299999999992"/>
    <n v="8235.7080000000005"/>
  </r>
  <r>
    <x v="95"/>
    <x v="4"/>
    <s v="Urban"/>
    <n v="125936"/>
    <n v="4870"/>
    <n v="25736"/>
    <n v="5091"/>
    <n v="71651"/>
    <n v="18588"/>
    <n v="102478"/>
    <n v="6.9000000000000006E-2"/>
    <n v="0.22899999999999998"/>
    <n v="0.182"/>
    <n v="336.03000000000003"/>
    <n v="1775.7840000000001"/>
    <n v="1165.8389999999999"/>
    <n v="16408.078999999998"/>
    <n v="17573.917999999998"/>
    <n v="18650.995999999999"/>
  </r>
  <r>
    <x v="96"/>
    <x v="1"/>
    <s v="Rural"/>
    <n v="69784"/>
    <n v="2032"/>
    <n v="12480"/>
    <n v="2461"/>
    <n v="39038"/>
    <n v="13773"/>
    <n v="53979"/>
    <n v="7.400000000000001E-2"/>
    <n v="0.253"/>
    <n v="0.20499999999999999"/>
    <n v="150.36800000000002"/>
    <n v="923.5200000000001"/>
    <n v="622.63300000000004"/>
    <n v="9876.6139999999996"/>
    <n v="10499.246999999999"/>
    <n v="11065.695"/>
  </r>
  <r>
    <x v="97"/>
    <x v="4"/>
    <s v="Rural"/>
    <n v="83044"/>
    <n v="2740"/>
    <n v="16635"/>
    <n v="3027"/>
    <n v="47030"/>
    <n v="13612"/>
    <n v="66692"/>
    <n v="7.6999999999999999E-2"/>
    <n v="0.251"/>
    <n v="0.20100000000000001"/>
    <n v="210.98"/>
    <n v="1280.895"/>
    <n v="759.77700000000004"/>
    <n v="11804.53"/>
    <n v="12564.307000000001"/>
    <n v="13405.092000000001"/>
  </r>
  <r>
    <x v="98"/>
    <x v="5"/>
    <s v="Urban"/>
    <n v="37885"/>
    <n v="1227"/>
    <n v="6958"/>
    <n v="1413"/>
    <n v="21319"/>
    <n v="6968"/>
    <n v="29690"/>
    <n v="8.8000000000000009E-2"/>
    <n v="0.245"/>
    <n v="0.20199999999999999"/>
    <n v="107.97600000000001"/>
    <n v="612.30400000000009"/>
    <n v="346.185"/>
    <n v="5223.1549999999997"/>
    <n v="5569.34"/>
    <n v="5997.3799999999992"/>
  </r>
  <r>
    <x v="99"/>
    <x v="1"/>
    <s v="Rural"/>
    <n v="17962"/>
    <n v="514"/>
    <n v="2853"/>
    <n v="535"/>
    <n v="9844"/>
    <n v="4216"/>
    <n v="13232"/>
    <n v="0.09"/>
    <n v="0.24299999999999999"/>
    <n v="0.20399999999999999"/>
    <n v="46.26"/>
    <n v="256.77"/>
    <n v="130.005"/>
    <n v="2392.0920000000001"/>
    <n v="2522.0970000000002"/>
    <n v="2699.328"/>
  </r>
</pivotCacheRecords>
</file>

<file path=xl/pivotCache/pivotCacheRecords4.xml><?xml version="1.0" encoding="utf-8"?>
<pivotCacheRecords xmlns="http://schemas.openxmlformats.org/spreadsheetml/2006/main" xmlns:r="http://schemas.openxmlformats.org/officeDocument/2006/relationships" count="100">
  <r>
    <x v="0"/>
    <x v="0"/>
    <s v="Urban"/>
    <n v="159522"/>
    <n v="5298"/>
    <n v="30153"/>
    <n v="7992"/>
    <n v="89836"/>
    <n v="26243"/>
    <n v="127981"/>
    <n v="5.5999999999999994E-2"/>
    <n v="0.20800000000000002"/>
    <n v="0.16500000000000001"/>
    <n v="296.68799999999999"/>
    <n v="1688.5679999999998"/>
    <n v="1662.3360000000002"/>
    <n v="18685.888000000003"/>
    <n v="20348.224000000002"/>
    <n v="21116.865000000002"/>
  </r>
  <r>
    <x v="1"/>
    <x v="1"/>
    <s v="Urban"/>
    <n v="38715"/>
    <n v="1106"/>
    <n v="6851"/>
    <n v="1331"/>
    <n v="22107"/>
    <n v="7320"/>
    <n v="30289"/>
    <n v="5.5E-2"/>
    <n v="0.20199999999999999"/>
    <n v="0.16200000000000001"/>
    <n v="60.83"/>
    <n v="376.80500000000001"/>
    <n v="268.86199999999997"/>
    <n v="4465.6139999999996"/>
    <n v="4734.4759999999997"/>
    <n v="4906.8180000000002"/>
  </r>
  <r>
    <x v="2"/>
    <x v="1"/>
    <s v="Rural"/>
    <n v="11219"/>
    <n v="285"/>
    <n v="1717"/>
    <n v="380"/>
    <n v="6057"/>
    <n v="2780"/>
    <n v="8154"/>
    <n v="0.10199999999999999"/>
    <n v="0.24399999999999999"/>
    <n v="0.21"/>
    <n v="29.069999999999997"/>
    <n v="175.13399999999999"/>
    <n v="92.72"/>
    <n v="1477.9079999999999"/>
    <n v="1570.6279999999999"/>
    <n v="1712.34"/>
  </r>
  <r>
    <x v="3"/>
    <x v="2"/>
    <s v="Rural"/>
    <n v="26466"/>
    <n v="739"/>
    <n v="4622"/>
    <n v="917"/>
    <n v="15743"/>
    <n v="4445"/>
    <n v="21282"/>
    <n v="5.5E-2"/>
    <n v="0.20800000000000002"/>
    <n v="0.16699999999999998"/>
    <n v="40.645000000000003"/>
    <n v="254.21"/>
    <n v="190.73600000000002"/>
    <n v="3274.5440000000003"/>
    <n v="3465.28"/>
    <n v="3554.0939999999996"/>
  </r>
  <r>
    <x v="4"/>
    <x v="1"/>
    <s v="Rural"/>
    <n v="27507"/>
    <n v="726"/>
    <n v="4359"/>
    <n v="884"/>
    <n v="14985"/>
    <n v="6553"/>
    <n v="20228"/>
    <n v="7.8E-2"/>
    <n v="0.23699999999999999"/>
    <n v="0.19800000000000001"/>
    <n v="56.628"/>
    <n v="340.00200000000001"/>
    <n v="209.50799999999998"/>
    <n v="3551.4449999999997"/>
    <n v="3760.9529999999995"/>
    <n v="4005.1440000000002"/>
  </r>
  <r>
    <x v="5"/>
    <x v="1"/>
    <s v="Rural"/>
    <n v="17903"/>
    <n v="418"/>
    <n v="2375"/>
    <n v="629"/>
    <n v="10754"/>
    <n v="3727"/>
    <n v="13758"/>
    <n v="8.3000000000000004E-2"/>
    <n v="0.245"/>
    <n v="0.20699999999999999"/>
    <n v="34.694000000000003"/>
    <n v="197.125"/>
    <n v="154.10499999999999"/>
    <n v="2634.73"/>
    <n v="2788.835"/>
    <n v="2847.9059999999999"/>
  </r>
  <r>
    <x v="6"/>
    <x v="3"/>
    <s v="Rural"/>
    <n v="47717"/>
    <n v="1394"/>
    <n v="8509"/>
    <n v="1530"/>
    <n v="25311"/>
    <n v="10973"/>
    <n v="35350"/>
    <n v="6.7000000000000004E-2"/>
    <n v="0.18899999999999997"/>
    <n v="0.156"/>
    <n v="93.39800000000001"/>
    <n v="570.10300000000007"/>
    <n v="289.16999999999996"/>
    <n v="4783.7789999999995"/>
    <n v="5072.9489999999996"/>
    <n v="5514.6"/>
  </r>
  <r>
    <x v="7"/>
    <x v="3"/>
    <s v="Rural"/>
    <n v="20100"/>
    <n v="555"/>
    <n v="3320"/>
    <n v="748"/>
    <n v="11618"/>
    <n v="3859"/>
    <n v="15686"/>
    <n v="4.7E-2"/>
    <n v="0.17600000000000002"/>
    <n v="0.14400000000000002"/>
    <n v="26.085000000000001"/>
    <n v="156.04"/>
    <n v="131.64800000000002"/>
    <n v="2044.7680000000003"/>
    <n v="2176.4160000000002"/>
    <n v="2258.7840000000001"/>
  </r>
  <r>
    <x v="8"/>
    <x v="4"/>
    <s v="Rural"/>
    <n v="35194"/>
    <n v="1079"/>
    <n v="6357"/>
    <n v="1307"/>
    <n v="19687"/>
    <n v="6764"/>
    <n v="27351"/>
    <n v="6.7000000000000004E-2"/>
    <n v="0.23"/>
    <n v="0.18600000000000003"/>
    <n v="72.293000000000006"/>
    <n v="425.91900000000004"/>
    <n v="300.61"/>
    <n v="4528.01"/>
    <n v="4828.62"/>
    <n v="5087.286000000001"/>
  </r>
  <r>
    <x v="9"/>
    <x v="3"/>
    <s v="Urban"/>
    <n v="124668"/>
    <n v="3246"/>
    <n v="18450"/>
    <n v="3137"/>
    <n v="64748"/>
    <n v="35087"/>
    <n v="86335"/>
    <n v="6.3E-2"/>
    <n v="0.20800000000000002"/>
    <n v="0.17399999999999999"/>
    <n v="204.49799999999999"/>
    <n v="1162.3499999999999"/>
    <n v="652.49600000000009"/>
    <n v="13467.584000000001"/>
    <n v="14120.080000000002"/>
    <n v="15022.289999999999"/>
  </r>
  <r>
    <x v="10"/>
    <x v="1"/>
    <s v="Urban"/>
    <n v="257413"/>
    <n v="7813"/>
    <n v="42095"/>
    <n v="8433"/>
    <n v="150584"/>
    <n v="48488"/>
    <n v="201112"/>
    <n v="5.4000000000000006E-2"/>
    <n v="0.18100000000000002"/>
    <n v="0.15"/>
    <n v="421.90200000000004"/>
    <n v="2273.13"/>
    <n v="1526.3730000000003"/>
    <n v="27255.704000000002"/>
    <n v="28782.077000000001"/>
    <n v="30166.799999999999"/>
  </r>
  <r>
    <x v="11"/>
    <x v="5"/>
    <s v="Urban"/>
    <n v="89198"/>
    <n v="2546"/>
    <n v="15622"/>
    <n v="4362"/>
    <n v="49671"/>
    <n v="16997"/>
    <n v="69655"/>
    <n v="5.5999999999999994E-2"/>
    <n v="0.21"/>
    <n v="0.17199999999999999"/>
    <n v="142.57599999999999"/>
    <n v="874.83199999999988"/>
    <n v="916.02"/>
    <n v="10430.91"/>
    <n v="11346.93"/>
    <n v="11980.66"/>
  </r>
  <r>
    <x v="12"/>
    <x v="0"/>
    <s v="Urban"/>
    <n v="200827"/>
    <n v="7258"/>
    <n v="43534"/>
    <n v="7828"/>
    <n v="116422"/>
    <n v="25785"/>
    <n v="167784"/>
    <n v="5.2000000000000005E-2"/>
    <n v="0.17"/>
    <n v="0.13400000000000001"/>
    <n v="377.41600000000005"/>
    <n v="2263.768"/>
    <n v="1330.76"/>
    <n v="19791.740000000002"/>
    <n v="21122.5"/>
    <n v="22483.056"/>
  </r>
  <r>
    <x v="13"/>
    <x v="1"/>
    <s v="Urban"/>
    <n v="82350"/>
    <n v="2388"/>
    <n v="14439"/>
    <n v="3308"/>
    <n v="47100"/>
    <n v="15115"/>
    <n v="64847"/>
    <n v="4.7E-2"/>
    <n v="0.21199999999999999"/>
    <n v="0.17"/>
    <n v="112.236"/>
    <n v="678.63300000000004"/>
    <n v="701.29599999999994"/>
    <n v="9985.1999999999989"/>
    <n v="10686.495999999999"/>
    <n v="11023.990000000002"/>
  </r>
  <r>
    <x v="14"/>
    <x v="3"/>
    <s v="Rural"/>
    <n v="10431"/>
    <n v="306"/>
    <n v="1928"/>
    <n v="377"/>
    <n v="6184"/>
    <n v="1636"/>
    <n v="8489"/>
    <n v="6.7000000000000004E-2"/>
    <n v="0.16"/>
    <n v="0.13300000000000001"/>
    <n v="20.502000000000002"/>
    <n v="129.17600000000002"/>
    <n v="60.32"/>
    <n v="989.44"/>
    <n v="1049.76"/>
    <n v="1129.037"/>
  </r>
  <r>
    <x v="15"/>
    <x v="3"/>
    <s v="Rural"/>
    <n v="69706"/>
    <n v="1829"/>
    <n v="10480"/>
    <n v="2151"/>
    <n v="39046"/>
    <n v="16200"/>
    <n v="51677"/>
    <n v="0.06"/>
    <n v="0.19500000000000001"/>
    <n v="0.16300000000000001"/>
    <n v="109.74"/>
    <n v="628.79999999999995"/>
    <n v="419.44499999999999"/>
    <n v="7613.97"/>
    <n v="8033.415"/>
    <n v="8423.3510000000006"/>
  </r>
  <r>
    <x v="16"/>
    <x v="0"/>
    <s v="Rural"/>
    <n v="23627"/>
    <n v="634"/>
    <n v="3717"/>
    <n v="732"/>
    <n v="13993"/>
    <n v="4551"/>
    <n v="18442"/>
    <n v="5.5999999999999994E-2"/>
    <n v="0.193"/>
    <n v="0.158"/>
    <n v="35.503999999999998"/>
    <n v="208.15199999999999"/>
    <n v="141.27600000000001"/>
    <n v="2700.6489999999999"/>
    <n v="2841.9249999999997"/>
    <n v="2913.8360000000002"/>
  </r>
  <r>
    <x v="17"/>
    <x v="5"/>
    <s v="Urban"/>
    <n v="156532"/>
    <n v="5196"/>
    <n v="29869"/>
    <n v="6155"/>
    <n v="89102"/>
    <n v="26210"/>
    <n v="125126"/>
    <n v="5.5999999999999994E-2"/>
    <n v="0.192"/>
    <n v="0.154"/>
    <n v="290.97599999999994"/>
    <n v="1672.6639999999998"/>
    <n v="1181.76"/>
    <n v="17107.583999999999"/>
    <n v="18289.343999999997"/>
    <n v="19269.403999999999"/>
  </r>
  <r>
    <x v="18"/>
    <x v="0"/>
    <s v="Urban"/>
    <n v="70981"/>
    <n v="1914"/>
    <n v="11983"/>
    <n v="2087"/>
    <n v="38235"/>
    <n v="16762"/>
    <n v="52305"/>
    <n v="7.0999999999999994E-2"/>
    <n v="0.18899999999999997"/>
    <n v="0.157"/>
    <n v="135.89399999999998"/>
    <n v="850.79299999999989"/>
    <n v="394.44299999999993"/>
    <n v="7226.4149999999991"/>
    <n v="7620.8579999999993"/>
    <n v="8211.8850000000002"/>
  </r>
  <r>
    <x v="19"/>
    <x v="1"/>
    <s v="Rural"/>
    <n v="27524"/>
    <n v="693"/>
    <n v="4186"/>
    <n v="827"/>
    <n v="14125"/>
    <n v="7693"/>
    <n v="19138"/>
    <n v="7.6999999999999999E-2"/>
    <n v="0.23"/>
    <n v="0.192"/>
    <n v="53.360999999999997"/>
    <n v="322.322"/>
    <n v="190.21"/>
    <n v="3248.75"/>
    <n v="3438.96"/>
    <n v="3674.4960000000001"/>
  </r>
  <r>
    <x v="20"/>
    <x v="3"/>
    <s v="Rural"/>
    <n v="14669"/>
    <n v="439"/>
    <n v="2615"/>
    <n v="496"/>
    <n v="7771"/>
    <n v="3348"/>
    <n v="10882"/>
    <n v="6.7000000000000004E-2"/>
    <n v="0.2"/>
    <n v="0.16300000000000001"/>
    <n v="29.413"/>
    <n v="175.20500000000001"/>
    <n v="99.2"/>
    <n v="1554.2"/>
    <n v="1653.4"/>
    <n v="1773.7660000000001"/>
  </r>
  <r>
    <x v="21"/>
    <x v="1"/>
    <s v="Rural"/>
    <n v="10855"/>
    <n v="265"/>
    <n v="1607"/>
    <n v="336"/>
    <n v="5507"/>
    <n v="3140"/>
    <n v="7450"/>
    <n v="9.0999999999999998E-2"/>
    <n v="0.223"/>
    <n v="0.19"/>
    <n v="24.114999999999998"/>
    <n v="146.23699999999999"/>
    <n v="74.927999999999997"/>
    <n v="1228.0609999999999"/>
    <n v="1302.989"/>
    <n v="1415.5"/>
  </r>
  <r>
    <x v="22"/>
    <x v="5"/>
    <s v="Rural"/>
    <n v="98532"/>
    <n v="3120"/>
    <n v="18187"/>
    <n v="4337"/>
    <n v="55443"/>
    <n v="17445"/>
    <n v="77967"/>
    <n v="4.5999999999999999E-2"/>
    <n v="0.17699999999999999"/>
    <n v="0.14099999999999999"/>
    <n v="143.52000000000001"/>
    <n v="836.60199999999998"/>
    <n v="767.649"/>
    <n v="9813.4110000000001"/>
    <n v="10581.06"/>
    <n v="10993.347"/>
  </r>
  <r>
    <x v="23"/>
    <x v="4"/>
    <s v="Rural"/>
    <n v="57579"/>
    <n v="1822"/>
    <n v="10569"/>
    <n v="2236"/>
    <n v="32588"/>
    <n v="10364"/>
    <n v="45393"/>
    <n v="6.4000000000000001E-2"/>
    <n v="0.22800000000000001"/>
    <n v="0.182"/>
    <n v="116.608"/>
    <n v="676.41600000000005"/>
    <n v="509.80799999999999"/>
    <n v="7430.0640000000003"/>
    <n v="7939.8720000000003"/>
    <n v="8261.5259999999998"/>
  </r>
  <r>
    <x v="24"/>
    <x v="3"/>
    <s v="Urban"/>
    <n v="105773"/>
    <n v="4511"/>
    <n v="21922"/>
    <n v="4707"/>
    <n v="56850"/>
    <n v="17783"/>
    <n v="83479"/>
    <n v="0.05"/>
    <n v="0.183"/>
    <n v="0.14499999999999999"/>
    <n v="225.55"/>
    <n v="1096.1000000000001"/>
    <n v="861.38099999999997"/>
    <n v="10403.549999999999"/>
    <n v="11264.930999999999"/>
    <n v="12104.455"/>
  </r>
  <r>
    <x v="25"/>
    <x v="6"/>
    <s v="Urban"/>
    <n v="333073"/>
    <n v="16245"/>
    <n v="72833"/>
    <n v="15431"/>
    <n v="189745"/>
    <n v="38819"/>
    <n v="278009"/>
    <n v="4.9000000000000002E-2"/>
    <n v="0.17"/>
    <n v="0.13400000000000001"/>
    <n v="796.005"/>
    <n v="3568.817"/>
    <n v="2623.27"/>
    <n v="32256.65"/>
    <n v="34879.919999999998"/>
    <n v="37253.206000000006"/>
  </r>
  <r>
    <x v="26"/>
    <x v="3"/>
    <s v="Urban"/>
    <n v="26160"/>
    <n v="808"/>
    <n v="4729"/>
    <n v="934"/>
    <n v="15707"/>
    <n v="3982"/>
    <n v="21370"/>
    <n v="6.5000000000000002E-2"/>
    <n v="0.18100000000000002"/>
    <n v="0.15"/>
    <n v="52.52"/>
    <n v="307.38499999999999"/>
    <n v="169.05400000000003"/>
    <n v="2842.9670000000006"/>
    <n v="3012.0210000000006"/>
    <n v="3205.5"/>
  </r>
  <r>
    <x v="27"/>
    <x v="3"/>
    <s v="Rural"/>
    <n v="35727"/>
    <n v="1107"/>
    <n v="5767"/>
    <n v="901"/>
    <n v="20831"/>
    <n v="7121"/>
    <n v="27499"/>
    <n v="7.5999999999999998E-2"/>
    <n v="0.20300000000000001"/>
    <n v="0.17199999999999999"/>
    <n v="84.132000000000005"/>
    <n v="438.29199999999997"/>
    <n v="182.90300000000002"/>
    <n v="4228.6930000000002"/>
    <n v="4411.5960000000005"/>
    <n v="4729.8279999999995"/>
  </r>
  <r>
    <x v="28"/>
    <x v="0"/>
    <s v="Urban"/>
    <n v="165399"/>
    <n v="5302"/>
    <n v="30961"/>
    <n v="5840"/>
    <n v="95081"/>
    <n v="28215"/>
    <n v="131882"/>
    <n v="4.7E-2"/>
    <n v="0.19699999999999998"/>
    <n v="0.155"/>
    <n v="249.19399999999999"/>
    <n v="1455.1669999999999"/>
    <n v="1150.4799999999998"/>
    <n v="18730.956999999999"/>
    <n v="19881.436999999998"/>
    <n v="20441.71"/>
  </r>
  <r>
    <x v="29"/>
    <x v="0"/>
    <s v="Urban"/>
    <n v="41474"/>
    <n v="1183"/>
    <n v="7370"/>
    <n v="1489"/>
    <n v="23338"/>
    <n v="8094"/>
    <n v="32197"/>
    <n v="7.0000000000000007E-2"/>
    <n v="0.17199999999999999"/>
    <n v="0.14400000000000002"/>
    <n v="82.81"/>
    <n v="515.90000000000009"/>
    <n v="256.108"/>
    <n v="4014.1359999999995"/>
    <n v="4270.2439999999997"/>
    <n v="4636.3680000000004"/>
  </r>
  <r>
    <x v="30"/>
    <x v="4"/>
    <s v="Rural"/>
    <n v="60763"/>
    <n v="2254"/>
    <n v="12409"/>
    <n v="2440"/>
    <n v="33410"/>
    <n v="10250"/>
    <n v="48259"/>
    <n v="8.5000000000000006E-2"/>
    <n v="0.29299999999999998"/>
    <n v="0.23199999999999998"/>
    <n v="191.59"/>
    <n v="1054.7650000000001"/>
    <n v="714.92"/>
    <n v="9789.1299999999992"/>
    <n v="10504.05"/>
    <n v="11196.088"/>
  </r>
  <r>
    <x v="31"/>
    <x v="6"/>
    <s v="Urban"/>
    <n v="303416"/>
    <n v="13005"/>
    <n v="57593"/>
    <n v="14181"/>
    <n v="183145"/>
    <n v="35492"/>
    <n v="254919"/>
    <n v="4.9000000000000002E-2"/>
    <n v="0.18600000000000003"/>
    <n v="0.151"/>
    <n v="637.245"/>
    <n v="2822.0570000000002"/>
    <n v="2637.6660000000002"/>
    <n v="34064.970000000008"/>
    <n v="36702.636000000006"/>
    <n v="38492.769"/>
  </r>
  <r>
    <x v="32"/>
    <x v="4"/>
    <s v="Urban"/>
    <n v="55303"/>
    <n v="1793"/>
    <n v="10895"/>
    <n v="2105"/>
    <n v="30716"/>
    <n v="9794"/>
    <n v="43716"/>
    <n v="3.9E-2"/>
    <n v="0.187"/>
    <n v="0.14499999999999999"/>
    <n v="69.927000000000007"/>
    <n v="424.90499999999997"/>
    <n v="393.63499999999999"/>
    <n v="5743.8919999999998"/>
    <n v="6137.527"/>
    <n v="6338.82"/>
  </r>
  <r>
    <x v="33"/>
    <x v="0"/>
    <s v="Urban"/>
    <n v="371646"/>
    <n v="13579"/>
    <n v="73737"/>
    <n v="15578"/>
    <n v="213147"/>
    <n v="55605"/>
    <n v="302462"/>
    <n v="4.7E-2"/>
    <n v="0.19600000000000001"/>
    <n v="0.153"/>
    <n v="638.21299999999997"/>
    <n v="3465.6390000000001"/>
    <n v="3053.288"/>
    <n v="41776.811999999998"/>
    <n v="44830.1"/>
    <n v="46276.686000000002"/>
  </r>
  <r>
    <x v="34"/>
    <x v="0"/>
    <s v="Urban"/>
    <n v="64436"/>
    <n v="2037"/>
    <n v="12349"/>
    <n v="2510"/>
    <n v="37298"/>
    <n v="10242"/>
    <n v="52157"/>
    <n v="6.4000000000000001E-2"/>
    <n v="0.21899999999999997"/>
    <n v="0.17499999999999999"/>
    <n v="130.36799999999999"/>
    <n v="790.33600000000001"/>
    <n v="549.68999999999994"/>
    <n v="8168.2619999999988"/>
    <n v="8717.9519999999993"/>
    <n v="9127.4749999999985"/>
  </r>
  <r>
    <x v="35"/>
    <x v="5"/>
    <s v="Urban"/>
    <n v="213325"/>
    <n v="7373"/>
    <n v="41293"/>
    <n v="8262"/>
    <n v="123427"/>
    <n v="32970"/>
    <n v="172982"/>
    <n v="5.2000000000000005E-2"/>
    <n v="0.19800000000000001"/>
    <n v="0.158"/>
    <n v="383.39600000000002"/>
    <n v="2147.2360000000003"/>
    <n v="1635.876"/>
    <n v="24438.546000000002"/>
    <n v="26074.422000000002"/>
    <n v="27331.155999999999"/>
  </r>
  <r>
    <x v="36"/>
    <x v="3"/>
    <s v="Urban"/>
    <n v="11914"/>
    <n v="326"/>
    <n v="2039"/>
    <n v="456"/>
    <n v="6925"/>
    <n v="2168"/>
    <n v="9420"/>
    <n v="6.2E-2"/>
    <n v="0.17199999999999999"/>
    <n v="0.14300000000000002"/>
    <n v="20.212"/>
    <n v="126.41799999999999"/>
    <n v="78.431999999999988"/>
    <n v="1191.0999999999999"/>
    <n v="1269.5319999999999"/>
    <n v="1347.0600000000002"/>
  </r>
  <r>
    <x v="37"/>
    <x v="1"/>
    <s v="Rural"/>
    <n v="8969"/>
    <n v="279"/>
    <n v="1601"/>
    <n v="316"/>
    <n v="4700"/>
    <n v="2073"/>
    <n v="6617"/>
    <n v="7.2000000000000008E-2"/>
    <n v="0.23399999999999999"/>
    <n v="0.19"/>
    <n v="20.088000000000001"/>
    <n v="115.27200000000002"/>
    <n v="73.943999999999988"/>
    <n v="1099.8"/>
    <n v="1173.7439999999999"/>
    <n v="1257.23"/>
  </r>
  <r>
    <x v="38"/>
    <x v="0"/>
    <s v="Rural"/>
    <n v="58471"/>
    <n v="1633"/>
    <n v="10097"/>
    <n v="2551"/>
    <n v="34948"/>
    <n v="9242"/>
    <n v="47596"/>
    <n v="5.7999999999999996E-2"/>
    <n v="0.17800000000000002"/>
    <n v="0.14599999999999999"/>
    <n v="94.713999999999999"/>
    <n v="585.62599999999998"/>
    <n v="454.07800000000003"/>
    <n v="6220.7440000000006"/>
    <n v="6674.822000000001"/>
    <n v="6949.0159999999996"/>
  </r>
  <r>
    <x v="39"/>
    <x v="4"/>
    <s v="Rural"/>
    <n v="21310"/>
    <n v="637"/>
    <n v="3997"/>
    <n v="746"/>
    <n v="12703"/>
    <n v="3227"/>
    <n v="17446"/>
    <n v="7.6999999999999999E-2"/>
    <n v="0.251"/>
    <n v="0.20100000000000001"/>
    <n v="49.048999999999999"/>
    <n v="307.76900000000001"/>
    <n v="187.24600000000001"/>
    <n v="3188.453"/>
    <n v="3375.6990000000001"/>
    <n v="3506.6460000000002"/>
  </r>
  <r>
    <x v="40"/>
    <x v="2"/>
    <s v="Urban"/>
    <n v="520398"/>
    <n v="17863"/>
    <n v="97307"/>
    <n v="26867"/>
    <n v="303029"/>
    <n v="75332"/>
    <n v="427203"/>
    <n v="5.5999999999999994E-2"/>
    <n v="0.183"/>
    <n v="0.14800000000000002"/>
    <n v="1000.3279999999999"/>
    <n v="5449.1919999999991"/>
    <n v="4916.6610000000001"/>
    <n v="55454.307000000001"/>
    <n v="60370.968000000001"/>
    <n v="63226.044000000009"/>
  </r>
  <r>
    <x v="41"/>
    <x v="0"/>
    <s v="Rural"/>
    <n v="52567"/>
    <n v="1685"/>
    <n v="9636"/>
    <n v="1760"/>
    <n v="29469"/>
    <n v="10017"/>
    <n v="40865"/>
    <n v="0.05"/>
    <n v="0.19399999999999998"/>
    <n v="0.155"/>
    <n v="84.25"/>
    <n v="481.8"/>
    <n v="341.43999999999994"/>
    <n v="5716.985999999999"/>
    <n v="6058.4259999999986"/>
    <n v="6334.0749999999998"/>
  </r>
  <r>
    <x v="42"/>
    <x v="2"/>
    <s v="Rural"/>
    <n v="130243"/>
    <n v="5649"/>
    <n v="29899"/>
    <n v="5928"/>
    <n v="72931"/>
    <n v="15836"/>
    <n v="108758"/>
    <n v="5.2000000000000005E-2"/>
    <n v="0.20300000000000001"/>
    <n v="0.155"/>
    <n v="293.74800000000005"/>
    <n v="1554.748"/>
    <n v="1203.384"/>
    <n v="14804.993"/>
    <n v="16008.377"/>
    <n v="16857.490000000002"/>
  </r>
  <r>
    <x v="43"/>
    <x v="1"/>
    <s v="Urban"/>
    <n v="60436"/>
    <n v="1694"/>
    <n v="9359"/>
    <n v="1882"/>
    <n v="32659"/>
    <n v="14842"/>
    <n v="43900"/>
    <n v="5.5E-2"/>
    <n v="0.184"/>
    <n v="0.153"/>
    <n v="93.17"/>
    <n v="514.745"/>
    <n v="346.28800000000001"/>
    <n v="6009.2560000000003"/>
    <n v="6355.5439999999999"/>
    <n v="6716.7"/>
  </r>
  <r>
    <x v="44"/>
    <x v="1"/>
    <s v="Urban"/>
    <n v="113314"/>
    <n v="3288"/>
    <n v="18744"/>
    <n v="3295"/>
    <n v="58964"/>
    <n v="29023"/>
    <n v="81003"/>
    <n v="6.4000000000000001E-2"/>
    <n v="0.20899999999999999"/>
    <n v="0.17100000000000001"/>
    <n v="210.43200000000002"/>
    <n v="1199.616"/>
    <n v="688.65499999999997"/>
    <n v="12323.475999999999"/>
    <n v="13012.130999999999"/>
    <n v="13851.513000000001"/>
  </r>
  <r>
    <x v="45"/>
    <x v="3"/>
    <s v="Rural"/>
    <n v="24423"/>
    <n v="672"/>
    <n v="4142"/>
    <n v="1237"/>
    <n v="13931"/>
    <n v="4441"/>
    <n v="19310"/>
    <n v="5.0999999999999997E-2"/>
    <n v="0.19399999999999998"/>
    <n v="0.156"/>
    <n v="34.271999999999998"/>
    <n v="211.24199999999999"/>
    <n v="239.97799999999998"/>
    <n v="2702.6139999999996"/>
    <n v="2942.5919999999996"/>
    <n v="3012.36"/>
  </r>
  <r>
    <x v="46"/>
    <x v="2"/>
    <s v="Urban"/>
    <n v="52400"/>
    <n v="2719"/>
    <n v="13514"/>
    <n v="2112"/>
    <n v="29339"/>
    <n v="4716"/>
    <n v="44965"/>
    <n v="6.3E-2"/>
    <n v="0.21899999999999997"/>
    <n v="0.17"/>
    <n v="171.297"/>
    <n v="851.38200000000006"/>
    <n v="462.52799999999996"/>
    <n v="6425.2409999999991"/>
    <n v="6887.7689999999993"/>
    <n v="7644.05"/>
  </r>
  <r>
    <x v="47"/>
    <x v="3"/>
    <s v="Rural"/>
    <n v="5720"/>
    <n v="136"/>
    <n v="841"/>
    <n v="188"/>
    <n v="3506"/>
    <n v="1049"/>
    <n v="4535"/>
    <n v="8.8000000000000009E-2"/>
    <n v="0.20399999999999999"/>
    <n v="0.17399999999999999"/>
    <n v="11.968000000000002"/>
    <n v="74.00800000000001"/>
    <n v="38.351999999999997"/>
    <n v="715.22399999999993"/>
    <n v="753.57599999999991"/>
    <n v="789.08999999999992"/>
  </r>
  <r>
    <x v="48"/>
    <x v="5"/>
    <s v="Urban"/>
    <n v="171400"/>
    <n v="5467"/>
    <n v="33440"/>
    <n v="6827"/>
    <n v="99775"/>
    <n v="25891"/>
    <n v="140042"/>
    <n v="5.9000000000000004E-2"/>
    <n v="0.182"/>
    <n v="0.14699999999999999"/>
    <n v="322.553"/>
    <n v="1972.96"/>
    <n v="1242.5139999999999"/>
    <n v="18159.05"/>
    <n v="19401.563999999998"/>
    <n v="20586.173999999999"/>
  </r>
  <r>
    <x v="49"/>
    <x v="1"/>
    <s v="Rural"/>
    <n v="41516"/>
    <n v="1153"/>
    <n v="6147"/>
    <n v="3891"/>
    <n v="22534"/>
    <n v="7791"/>
    <n v="32572"/>
    <n v="8.1000000000000003E-2"/>
    <n v="0.23899999999999999"/>
    <n v="0.20199999999999999"/>
    <n v="93.393000000000001"/>
    <n v="497.90700000000004"/>
    <n v="929.94899999999996"/>
    <n v="5385.6260000000002"/>
    <n v="6315.5749999999998"/>
    <n v="6579.5439999999999"/>
  </r>
  <r>
    <x v="50"/>
    <x v="6"/>
    <s v="Urban"/>
    <n v="186764"/>
    <n v="6930"/>
    <n v="41058"/>
    <n v="7294"/>
    <n v="107759"/>
    <n v="23723"/>
    <n v="156111"/>
    <n v="6.3E-2"/>
    <n v="0.20300000000000001"/>
    <n v="0.16"/>
    <n v="436.59"/>
    <n v="2586.654"/>
    <n v="1480.682"/>
    <n v="21875.077000000001"/>
    <n v="23355.759000000002"/>
    <n v="24977.760000000002"/>
  </r>
  <r>
    <x v="51"/>
    <x v="3"/>
    <s v="Urban"/>
    <n v="10518"/>
    <n v="326"/>
    <n v="1789"/>
    <n v="309"/>
    <n v="6024"/>
    <n v="2070"/>
    <n v="8122"/>
    <n v="7.400000000000001E-2"/>
    <n v="0.20199999999999999"/>
    <n v="0.17"/>
    <n v="24.124000000000002"/>
    <n v="132.38600000000002"/>
    <n v="62.417999999999992"/>
    <n v="1216.848"/>
    <n v="1279.2659999999998"/>
    <n v="1380.74"/>
  </r>
  <r>
    <x v="52"/>
    <x v="2"/>
    <s v="Rural"/>
    <n v="59211"/>
    <n v="2363"/>
    <n v="12543"/>
    <n v="2307"/>
    <n v="32698"/>
    <n v="9300"/>
    <n v="47548"/>
    <n v="6.4000000000000001E-2"/>
    <n v="0.223"/>
    <n v="0.17499999999999999"/>
    <n v="151.232"/>
    <n v="802.75200000000007"/>
    <n v="514.46100000000001"/>
    <n v="7291.6540000000005"/>
    <n v="7806.1150000000007"/>
    <n v="8320.9"/>
  </r>
  <r>
    <x v="53"/>
    <x v="4"/>
    <s v="Rural"/>
    <n v="58732"/>
    <n v="1990"/>
    <n v="11190"/>
    <n v="2137"/>
    <n v="32591"/>
    <n v="10824"/>
    <n v="45918"/>
    <n v="5.2000000000000005E-2"/>
    <n v="0.19800000000000001"/>
    <n v="0.158"/>
    <n v="103.48"/>
    <n v="581.88"/>
    <n v="423.12600000000003"/>
    <n v="6453.018"/>
    <n v="6876.1440000000002"/>
    <n v="7255.0439999999999"/>
  </r>
  <r>
    <x v="54"/>
    <x v="5"/>
    <s v="Urban"/>
    <n v="81417"/>
    <n v="2404"/>
    <n v="14718"/>
    <n v="3006"/>
    <n v="47673"/>
    <n v="13616"/>
    <n v="65397"/>
    <n v="6.0999999999999999E-2"/>
    <n v="0.18600000000000003"/>
    <n v="0.153"/>
    <n v="146.64400000000001"/>
    <n v="897.798"/>
    <n v="559.1160000000001"/>
    <n v="8867.1780000000017"/>
    <n v="9426.2940000000017"/>
    <n v="10005.741"/>
  </r>
  <r>
    <x v="55"/>
    <x v="1"/>
    <s v="Rural"/>
    <n v="35279"/>
    <n v="1034"/>
    <n v="5535"/>
    <n v="1162"/>
    <n v="17852"/>
    <n v="9696"/>
    <n v="24549"/>
    <n v="9.6000000000000002E-2"/>
    <n v="0.247"/>
    <n v="0.20800000000000002"/>
    <n v="99.263999999999996"/>
    <n v="531.36"/>
    <n v="287.01400000000001"/>
    <n v="4409.4439999999995"/>
    <n v="4696.4579999999996"/>
    <n v="5106.192"/>
  </r>
  <r>
    <x v="56"/>
    <x v="1"/>
    <s v="Urban"/>
    <n v="21875"/>
    <n v="568"/>
    <n v="3392"/>
    <n v="1247"/>
    <n v="12014"/>
    <n v="4654"/>
    <n v="16653"/>
    <n v="5.5999999999999994E-2"/>
    <n v="0.185"/>
    <n v="0.152"/>
    <n v="31.807999999999996"/>
    <n v="189.95199999999997"/>
    <n v="230.69499999999999"/>
    <n v="2222.59"/>
    <n v="2453.2850000000003"/>
    <n v="2531.2559999999999"/>
  </r>
  <r>
    <x v="57"/>
    <x v="3"/>
    <s v="Rural"/>
    <n v="23494"/>
    <n v="732"/>
    <n v="4151"/>
    <n v="693"/>
    <n v="12962"/>
    <n v="4956"/>
    <n v="17806"/>
    <n v="5.5E-2"/>
    <n v="0.185"/>
    <n v="0.151"/>
    <n v="40.26"/>
    <n v="228.30500000000001"/>
    <n v="128.20500000000001"/>
    <n v="2397.9699999999998"/>
    <n v="2526.1749999999997"/>
    <n v="2688.7060000000001"/>
  </r>
  <r>
    <x v="58"/>
    <x v="1"/>
    <s v="Rural"/>
    <n v="45437"/>
    <n v="1331"/>
    <n v="7925"/>
    <n v="1557"/>
    <n v="25784"/>
    <n v="8840"/>
    <n v="35266"/>
    <n v="5.2999999999999999E-2"/>
    <n v="0.191"/>
    <n v="0.155"/>
    <n v="70.542999999999992"/>
    <n v="420.02499999999998"/>
    <n v="297.387"/>
    <n v="4924.7439999999997"/>
    <n v="5222.1309999999994"/>
    <n v="5466.23"/>
  </r>
  <r>
    <x v="59"/>
    <x v="0"/>
    <s v="Urban"/>
    <n v="1054561"/>
    <n v="42441"/>
    <n v="211891"/>
    <n v="36404"/>
    <n v="651596"/>
    <n v="112229"/>
    <n v="899891"/>
    <n v="5.2000000000000005E-2"/>
    <n v="0.187"/>
    <n v="0.14899999999999999"/>
    <n v="2206.9320000000002"/>
    <n v="11018.332"/>
    <n v="6807.5479999999998"/>
    <n v="121848.452"/>
    <n v="128656"/>
    <n v="134083.75899999999"/>
  </r>
  <r>
    <x v="60"/>
    <x v="1"/>
    <s v="Rural"/>
    <n v="15894"/>
    <n v="459"/>
    <n v="2443"/>
    <n v="385"/>
    <n v="8944"/>
    <n v="3663"/>
    <n v="11772"/>
    <n v="6.7000000000000004E-2"/>
    <n v="0.192"/>
    <n v="0.161"/>
    <n v="30.753"/>
    <n v="163.68100000000001"/>
    <n v="73.92"/>
    <n v="1717.248"/>
    <n v="1791.1680000000001"/>
    <n v="1895.2920000000001"/>
  </r>
  <r>
    <x v="61"/>
    <x v="2"/>
    <s v="Rural"/>
    <n v="27864"/>
    <n v="917"/>
    <n v="5322"/>
    <n v="1103"/>
    <n v="15118"/>
    <n v="5404"/>
    <n v="21543"/>
    <n v="7.5999999999999998E-2"/>
    <n v="0.252"/>
    <n v="0.20100000000000001"/>
    <n v="69.691999999999993"/>
    <n v="404.47199999999998"/>
    <n v="277.95600000000002"/>
    <n v="3809.7359999999999"/>
    <n v="4087.692"/>
    <n v="4330.143"/>
  </r>
  <r>
    <x v="62"/>
    <x v="2"/>
    <s v="Rural"/>
    <n v="95327"/>
    <n v="3056"/>
    <n v="16749"/>
    <n v="3102"/>
    <n v="48149"/>
    <n v="24271"/>
    <n v="68000"/>
    <n v="6.2E-2"/>
    <n v="0.184"/>
    <n v="0.15"/>
    <n v="189.47200000000001"/>
    <n v="1038.4380000000001"/>
    <n v="570.76800000000003"/>
    <n v="8859.4159999999993"/>
    <n v="9430.1839999999993"/>
    <n v="10200"/>
  </r>
  <r>
    <x v="63"/>
    <x v="4"/>
    <s v="Urban"/>
    <n v="94140"/>
    <n v="3087"/>
    <n v="17436"/>
    <n v="3480"/>
    <n v="53723"/>
    <n v="16414"/>
    <n v="74639"/>
    <n v="5.2999999999999999E-2"/>
    <n v="0.193"/>
    <n v="0.154"/>
    <n v="163.61099999999999"/>
    <n v="924.10799999999995"/>
    <n v="671.64"/>
    <n v="10368.539000000001"/>
    <n v="11040.179"/>
    <n v="11494.405999999999"/>
  </r>
  <r>
    <x v="64"/>
    <x v="3"/>
    <s v="Urban"/>
    <n v="223260"/>
    <n v="6757"/>
    <n v="35610"/>
    <n v="11703"/>
    <n v="132527"/>
    <n v="36663"/>
    <n v="179840"/>
    <n v="5.4000000000000006E-2"/>
    <n v="0.17399999999999999"/>
    <n v="0.14499999999999999"/>
    <n v="364.87800000000004"/>
    <n v="1922.9400000000003"/>
    <n v="2036.3219999999999"/>
    <n v="23059.697999999997"/>
    <n v="25096.019999999997"/>
    <n v="26076.799999999999"/>
  </r>
  <r>
    <x v="65"/>
    <x v="3"/>
    <s v="Rural"/>
    <n v="20960"/>
    <n v="550"/>
    <n v="3402"/>
    <n v="548"/>
    <n v="11736"/>
    <n v="4724"/>
    <n v="15686"/>
    <n v="5.0999999999999997E-2"/>
    <n v="0.17899999999999999"/>
    <n v="0.14699999999999999"/>
    <n v="28.049999999999997"/>
    <n v="173.50199999999998"/>
    <n v="98.091999999999999"/>
    <n v="2100.7439999999997"/>
    <n v="2198.8359999999998"/>
    <n v="2305.8420000000001"/>
  </r>
  <r>
    <x v="66"/>
    <x v="3"/>
    <s v="Urban"/>
    <n v="195835"/>
    <n v="12364"/>
    <n v="44167"/>
    <n v="14655"/>
    <n v="107185"/>
    <n v="17464"/>
    <n v="166007"/>
    <n v="0.04"/>
    <n v="0.14699999999999999"/>
    <n v="0.115"/>
    <n v="494.56"/>
    <n v="1766.68"/>
    <n v="2154.2849999999999"/>
    <n v="15756.195"/>
    <n v="17910.48"/>
    <n v="19090.805"/>
  </r>
  <r>
    <x v="67"/>
    <x v="0"/>
    <s v="Urban"/>
    <n v="143264"/>
    <n v="3669"/>
    <n v="23711"/>
    <n v="12214"/>
    <n v="85462"/>
    <n v="18208"/>
    <n v="121387"/>
    <n v="5.7000000000000002E-2"/>
    <n v="0.14400000000000002"/>
    <n v="0.121"/>
    <n v="209.13300000000001"/>
    <n v="1351.527"/>
    <n v="1758.8160000000003"/>
    <n v="12306.528000000002"/>
    <n v="14065.344000000003"/>
    <n v="14687.826999999999"/>
  </r>
  <r>
    <x v="68"/>
    <x v="3"/>
    <s v="Urban"/>
    <n v="13184"/>
    <n v="296"/>
    <n v="1815"/>
    <n v="330"/>
    <n v="7137"/>
    <n v="3606"/>
    <n v="9282"/>
    <n v="0.09"/>
    <n v="0.185"/>
    <n v="0.16200000000000001"/>
    <n v="26.64"/>
    <n v="163.35"/>
    <n v="61.05"/>
    <n v="1320.345"/>
    <n v="1381.395"/>
    <n v="1503.684"/>
  </r>
  <r>
    <x v="69"/>
    <x v="3"/>
    <s v="Rural"/>
    <n v="40112"/>
    <n v="1457"/>
    <n v="7706"/>
    <n v="2255"/>
    <n v="22627"/>
    <n v="6067"/>
    <n v="32588"/>
    <n v="0.05"/>
    <n v="0.19600000000000001"/>
    <n v="0.156"/>
    <n v="72.850000000000009"/>
    <n v="385.3"/>
    <n v="441.98"/>
    <n v="4434.8919999999998"/>
    <n v="4876.8719999999994"/>
    <n v="5083.7280000000001"/>
  </r>
  <r>
    <x v="70"/>
    <x v="3"/>
    <s v="Urban"/>
    <n v="58815"/>
    <n v="1859"/>
    <n v="10415"/>
    <n v="2231"/>
    <n v="33966"/>
    <n v="10344"/>
    <n v="46612"/>
    <n v="6.6000000000000003E-2"/>
    <n v="0.2"/>
    <n v="0.16300000000000001"/>
    <n v="122.694"/>
    <n v="687.39"/>
    <n v="446.20000000000005"/>
    <n v="6793.2000000000007"/>
    <n v="7239.4000000000005"/>
    <n v="7597.7560000000003"/>
  </r>
  <r>
    <x v="71"/>
    <x v="3"/>
    <s v="Rural"/>
    <n v="13539"/>
    <n v="400"/>
    <n v="2198"/>
    <n v="379"/>
    <n v="7030"/>
    <n v="3532"/>
    <n v="9607"/>
    <n v="6.0999999999999999E-2"/>
    <n v="0.18899999999999997"/>
    <n v="0.154"/>
    <n v="24.4"/>
    <n v="134.078"/>
    <n v="71.630999999999986"/>
    <n v="1328.6699999999998"/>
    <n v="1400.3009999999999"/>
    <n v="1479.4780000000001"/>
  </r>
  <r>
    <x v="72"/>
    <x v="0"/>
    <s v="Urban"/>
    <n v="39383"/>
    <n v="1313"/>
    <n v="7066"/>
    <n v="1247"/>
    <n v="22607"/>
    <n v="7150"/>
    <n v="30920"/>
    <n v="5.5999999999999994E-2"/>
    <n v="0.17899999999999999"/>
    <n v="0.14599999999999999"/>
    <n v="73.527999999999992"/>
    <n v="395.69599999999997"/>
    <n v="223.21299999999999"/>
    <n v="4046.6529999999998"/>
    <n v="4269.866"/>
    <n v="4514.32"/>
  </r>
  <r>
    <x v="73"/>
    <x v="3"/>
    <s v="Urban"/>
    <n v="176269"/>
    <n v="6070"/>
    <n v="32557"/>
    <n v="14834"/>
    <n v="101432"/>
    <n v="21376"/>
    <n v="148823"/>
    <n v="0.05"/>
    <n v="0.17699999999999999"/>
    <n v="0.14400000000000002"/>
    <n v="303.5"/>
    <n v="1627.8500000000001"/>
    <n v="2625.6179999999999"/>
    <n v="17953.464"/>
    <n v="20579.081999999999"/>
    <n v="21430.512000000002"/>
  </r>
  <r>
    <x v="74"/>
    <x v="1"/>
    <s v="Rural"/>
    <n v="20955"/>
    <n v="481"/>
    <n v="3035"/>
    <n v="599"/>
    <n v="10950"/>
    <n v="5890"/>
    <n v="14584"/>
    <n v="8.8000000000000009E-2"/>
    <n v="0.20600000000000002"/>
    <n v="0.17699999999999999"/>
    <n v="42.328000000000003"/>
    <n v="267.08000000000004"/>
    <n v="123.39400000000001"/>
    <n v="2255.7000000000003"/>
    <n v="2379.0940000000001"/>
    <n v="2581.3679999999999"/>
  </r>
  <r>
    <x v="75"/>
    <x v="2"/>
    <s v="Urban"/>
    <n v="144254"/>
    <n v="4746"/>
    <n v="27809"/>
    <n v="5902"/>
    <n v="81739"/>
    <n v="24058"/>
    <n v="115450"/>
    <n v="6.9000000000000006E-2"/>
    <n v="0.21"/>
    <n v="0.17"/>
    <n v="327.47400000000005"/>
    <n v="1918.8210000000001"/>
    <n v="1239.4199999999998"/>
    <n v="17165.189999999999"/>
    <n v="18404.609999999997"/>
    <n v="19626.5"/>
  </r>
  <r>
    <x v="76"/>
    <x v="2"/>
    <s v="Rural"/>
    <n v="45484"/>
    <n v="1519"/>
    <n v="8922"/>
    <n v="2200"/>
    <n v="25186"/>
    <n v="7657"/>
    <n v="36308"/>
    <n v="5.2999999999999999E-2"/>
    <n v="0.22699999999999998"/>
    <n v="0.17699999999999999"/>
    <n v="80.506999999999991"/>
    <n v="472.86599999999999"/>
    <n v="499.4"/>
    <n v="5717.2219999999998"/>
    <n v="6216.6219999999994"/>
    <n v="6426.5159999999996"/>
  </r>
  <r>
    <x v="77"/>
    <x v="4"/>
    <s v="Rural"/>
    <n v="132948"/>
    <n v="5208"/>
    <n v="27729"/>
    <n v="7716"/>
    <n v="73656"/>
    <n v="18639"/>
    <n v="109101"/>
    <n v="6.5000000000000002E-2"/>
    <n v="0.28300000000000003"/>
    <n v="0.217"/>
    <n v="338.52000000000004"/>
    <n v="1802.385"/>
    <n v="2183.6280000000002"/>
    <n v="20844.648000000001"/>
    <n v="23028.276000000002"/>
    <n v="23674.917000000001"/>
  </r>
  <r>
    <x v="78"/>
    <x v="0"/>
    <s v="Urban"/>
    <n v="92543"/>
    <n v="2895"/>
    <n v="16221"/>
    <n v="3120"/>
    <n v="52852"/>
    <n v="17455"/>
    <n v="72193"/>
    <n v="5.4000000000000006E-2"/>
    <n v="0.184"/>
    <n v="0.15"/>
    <n v="156.33000000000001"/>
    <n v="875.93400000000008"/>
    <n v="574.08000000000004"/>
    <n v="9724.768"/>
    <n v="10298.848"/>
    <n v="10828.949999999999"/>
  </r>
  <r>
    <x v="79"/>
    <x v="0"/>
    <s v="Urban"/>
    <n v="138710"/>
    <n v="4495"/>
    <n v="26517"/>
    <n v="5653"/>
    <n v="79228"/>
    <n v="22817"/>
    <n v="111398"/>
    <n v="5.9000000000000004E-2"/>
    <n v="0.21199999999999999"/>
    <n v="0.16899999999999998"/>
    <n v="265.20500000000004"/>
    <n v="1564.5030000000002"/>
    <n v="1198.4359999999999"/>
    <n v="16796.335999999999"/>
    <n v="17994.772000000001"/>
    <n v="18826.261999999999"/>
  </r>
  <r>
    <x v="80"/>
    <x v="1"/>
    <s v="Rural"/>
    <n v="67359"/>
    <n v="2125"/>
    <n v="11996"/>
    <n v="2360"/>
    <n v="37358"/>
    <n v="13520"/>
    <n v="51714"/>
    <n v="5.4000000000000006E-2"/>
    <n v="0.192"/>
    <n v="0.155"/>
    <n v="114.75000000000001"/>
    <n v="647.78400000000011"/>
    <n v="453.12"/>
    <n v="7172.7359999999999"/>
    <n v="7625.8559999999998"/>
    <n v="8015.67"/>
  </r>
  <r>
    <x v="81"/>
    <x v="4"/>
    <s v="Rural"/>
    <n v="64633"/>
    <n v="2448"/>
    <n v="13454"/>
    <n v="2642"/>
    <n v="35379"/>
    <n v="10710"/>
    <n v="51475"/>
    <n v="7.0000000000000007E-2"/>
    <n v="0.25900000000000001"/>
    <n v="0.20300000000000001"/>
    <n v="171.36"/>
    <n v="941.78000000000009"/>
    <n v="684.27800000000002"/>
    <n v="9163.1610000000001"/>
    <n v="9847.4390000000003"/>
    <n v="10449.425000000001"/>
  </r>
  <r>
    <x v="82"/>
    <x v="4"/>
    <s v="Rural"/>
    <n v="35536"/>
    <n v="1309"/>
    <n v="7056"/>
    <n v="1396"/>
    <n v="19777"/>
    <n v="5998"/>
    <n v="28229"/>
    <n v="0.05"/>
    <n v="0.21199999999999999"/>
    <n v="0.16300000000000001"/>
    <n v="65.45"/>
    <n v="352.8"/>
    <n v="295.952"/>
    <n v="4192.7240000000002"/>
    <n v="4488.6760000000004"/>
    <n v="4601.3270000000002"/>
  </r>
  <r>
    <x v="83"/>
    <x v="0"/>
    <s v="Rural"/>
    <n v="61506"/>
    <n v="1986"/>
    <n v="11069"/>
    <n v="2303"/>
    <n v="35016"/>
    <n v="11132"/>
    <n v="48388"/>
    <n v="5.2999999999999999E-2"/>
    <n v="0.183"/>
    <n v="0.14699999999999999"/>
    <n v="105.258"/>
    <n v="586.65700000000004"/>
    <n v="421.44900000000001"/>
    <n v="6407.9279999999999"/>
    <n v="6829.3769999999995"/>
    <n v="7113.0359999999991"/>
  </r>
  <r>
    <x v="84"/>
    <x v="0"/>
    <s v="Urban"/>
    <n v="46786"/>
    <n v="1275"/>
    <n v="7657"/>
    <n v="1542"/>
    <n v="27381"/>
    <n v="8931"/>
    <n v="36580"/>
    <n v="5.0999999999999997E-2"/>
    <n v="0.17699999999999999"/>
    <n v="0.14499999999999999"/>
    <n v="65.024999999999991"/>
    <n v="390.50699999999995"/>
    <n v="272.93399999999997"/>
    <n v="4846.4369999999999"/>
    <n v="5119.3710000000001"/>
    <n v="5304.0999999999995"/>
  </r>
  <r>
    <x v="85"/>
    <x v="5"/>
    <s v="Rural"/>
    <n v="73834"/>
    <n v="2245"/>
    <n v="13523"/>
    <n v="3080"/>
    <n v="40987"/>
    <n v="13999"/>
    <n v="57590"/>
    <n v="7.2000000000000008E-2"/>
    <n v="0.22899999999999998"/>
    <n v="0.18600000000000003"/>
    <n v="161.64000000000001"/>
    <n v="973.65600000000006"/>
    <n v="705.31999999999994"/>
    <n v="9386.0229999999992"/>
    <n v="10091.342999999999"/>
    <n v="10711.740000000002"/>
  </r>
  <r>
    <x v="86"/>
    <x v="1"/>
    <s v="Rural"/>
    <n v="15142"/>
    <n v="638"/>
    <n v="2906"/>
    <n v="515"/>
    <n v="8254"/>
    <n v="2829"/>
    <n v="11675"/>
    <n v="8.6999999999999994E-2"/>
    <n v="0.253"/>
    <n v="0.20699999999999999"/>
    <n v="55.505999999999993"/>
    <n v="252.82199999999997"/>
    <n v="130.29499999999999"/>
    <n v="2088.2620000000002"/>
    <n v="2218.5570000000002"/>
    <n v="2416.7249999999999"/>
  </r>
  <r>
    <x v="87"/>
    <x v="1"/>
    <s v="Rural"/>
    <n v="34047"/>
    <n v="907"/>
    <n v="4769"/>
    <n v="1348"/>
    <n v="16834"/>
    <n v="10189"/>
    <n v="22951"/>
    <n v="6.6000000000000003E-2"/>
    <n v="0.19399999999999998"/>
    <n v="0.16399999999999998"/>
    <n v="59.862000000000002"/>
    <n v="314.75400000000002"/>
    <n v="261.51199999999994"/>
    <n v="3265.7959999999998"/>
    <n v="3527.308"/>
    <n v="3763.9639999999995"/>
  </r>
  <r>
    <x v="88"/>
    <x v="3"/>
    <s v="Rural"/>
    <n v="4141"/>
    <n v="123"/>
    <n v="642"/>
    <n v="106"/>
    <n v="2474"/>
    <n v="796"/>
    <n v="3222"/>
    <n v="9.9000000000000005E-2"/>
    <n v="0.27100000000000002"/>
    <n v="0.22600000000000001"/>
    <n v="12.177000000000001"/>
    <n v="63.558"/>
    <n v="28.726000000000003"/>
    <n v="670.45400000000006"/>
    <n v="699.18000000000006"/>
    <n v="728.17200000000003"/>
  </r>
  <r>
    <x v="89"/>
    <x v="0"/>
    <s v="Urban"/>
    <n v="225160"/>
    <n v="7850"/>
    <n v="51502"/>
    <n v="10059"/>
    <n v="128720"/>
    <n v="27029"/>
    <n v="190281"/>
    <n v="5.5E-2"/>
    <n v="0.17100000000000001"/>
    <n v="0.13200000000000001"/>
    <n v="431.75"/>
    <n v="2832.61"/>
    <n v="1720.0890000000002"/>
    <n v="22011.120000000003"/>
    <n v="23731.209000000003"/>
    <n v="25117.092000000001"/>
  </r>
  <r>
    <x v="90"/>
    <x v="0"/>
    <s v="Rural"/>
    <n v="44978"/>
    <n v="1645"/>
    <n v="9067"/>
    <n v="1740"/>
    <n v="24914"/>
    <n v="7612"/>
    <n v="35721"/>
    <n v="0.05"/>
    <n v="0.20199999999999999"/>
    <n v="0.159"/>
    <n v="82.25"/>
    <n v="453.35"/>
    <n v="351.47999999999996"/>
    <n v="5032.6279999999997"/>
    <n v="5384.1079999999993"/>
    <n v="5679.6390000000001"/>
  </r>
  <r>
    <x v="91"/>
    <x v="6"/>
    <s v="Urban"/>
    <n v="1025434"/>
    <n v="37669"/>
    <n v="212675"/>
    <n v="41630"/>
    <n v="623031"/>
    <n v="110429"/>
    <n v="877336"/>
    <n v="5.2000000000000005E-2"/>
    <n v="0.14899999999999999"/>
    <n v="0.12"/>
    <n v="1958.7880000000002"/>
    <n v="11059.1"/>
    <n v="6202.87"/>
    <n v="92831.618999999992"/>
    <n v="99034.488999999987"/>
    <n v="105280.31999999999"/>
  </r>
  <r>
    <x v="92"/>
    <x v="0"/>
    <s v="Rural"/>
    <n v="20514"/>
    <n v="575"/>
    <n v="3257"/>
    <n v="564"/>
    <n v="11455"/>
    <n v="4663"/>
    <n v="15276"/>
    <n v="7.0000000000000007E-2"/>
    <n v="0.214"/>
    <n v="0.17800000000000002"/>
    <n v="40.250000000000007"/>
    <n v="227.99"/>
    <n v="120.696"/>
    <n v="2451.37"/>
    <n v="2572.0659999999998"/>
    <n v="2719.1280000000002"/>
  </r>
  <r>
    <x v="93"/>
    <x v="3"/>
    <s v="Rural"/>
    <n v="12579"/>
    <n v="403"/>
    <n v="2328"/>
    <n v="355"/>
    <n v="6719"/>
    <n v="2774"/>
    <n v="9402"/>
    <n v="5.2000000000000005E-2"/>
    <n v="0.185"/>
    <n v="0.14899999999999999"/>
    <n v="20.956000000000003"/>
    <n v="121.05600000000001"/>
    <n v="65.674999999999997"/>
    <n v="1243.0149999999999"/>
    <n v="1308.6899999999998"/>
    <n v="1400.8979999999999"/>
  </r>
  <r>
    <x v="94"/>
    <x v="1"/>
    <s v="Rural"/>
    <n v="53706"/>
    <n v="1047"/>
    <n v="5886"/>
    <n v="8516"/>
    <n v="29913"/>
    <n v="8344"/>
    <n v="44315"/>
    <n v="6.0999999999999999E-2"/>
    <n v="0.16699999999999998"/>
    <n v="0.14800000000000002"/>
    <n v="63.866999999999997"/>
    <n v="359.04599999999999"/>
    <n v="1422.1719999999998"/>
    <n v="4995.4709999999995"/>
    <n v="6417.6429999999991"/>
    <n v="6558.6200000000008"/>
  </r>
  <r>
    <x v="95"/>
    <x v="4"/>
    <s v="Urban"/>
    <n v="126174"/>
    <n v="4964"/>
    <n v="25873"/>
    <n v="5029"/>
    <n v="71159"/>
    <n v="19149"/>
    <n v="102061"/>
    <n v="5.7000000000000002E-2"/>
    <n v="0.21199999999999999"/>
    <n v="0.16699999999999998"/>
    <n v="282.94800000000004"/>
    <n v="1474.761"/>
    <n v="1066.1479999999999"/>
    <n v="15085.707999999999"/>
    <n v="16151.855999999998"/>
    <n v="17044.186999999998"/>
  </r>
  <r>
    <x v="96"/>
    <x v="1"/>
    <s v="Rural"/>
    <n v="70116"/>
    <n v="2063"/>
    <n v="12384"/>
    <n v="2431"/>
    <n v="39106"/>
    <n v="14132"/>
    <n v="53921"/>
    <n v="5.7999999999999996E-2"/>
    <n v="0.22500000000000001"/>
    <n v="0.18100000000000002"/>
    <n v="119.654"/>
    <n v="718.27199999999993"/>
    <n v="546.97500000000002"/>
    <n v="8798.85"/>
    <n v="9345.8250000000007"/>
    <n v="9759.7010000000009"/>
  </r>
  <r>
    <x v="97"/>
    <x v="4"/>
    <s v="Rural"/>
    <n v="82066"/>
    <n v="2799"/>
    <n v="16218"/>
    <n v="3016"/>
    <n v="46317"/>
    <n v="13716"/>
    <n v="65551"/>
    <n v="5.7000000000000002E-2"/>
    <n v="0.22899999999999998"/>
    <n v="0.18"/>
    <n v="159.54300000000001"/>
    <n v="924.42600000000004"/>
    <n v="690.66399999999999"/>
    <n v="10606.592999999999"/>
    <n v="11297.257"/>
    <n v="11799.18"/>
  </r>
  <r>
    <x v="98"/>
    <x v="5"/>
    <s v="Urban"/>
    <n v="37457"/>
    <n v="1147"/>
    <n v="6804"/>
    <n v="1402"/>
    <n v="21117"/>
    <n v="6987"/>
    <n v="29323"/>
    <n v="6.7000000000000004E-2"/>
    <n v="0.20399999999999999"/>
    <n v="0.16699999999999998"/>
    <n v="76.849000000000004"/>
    <n v="455.86800000000005"/>
    <n v="286.00799999999998"/>
    <n v="4307.8679999999995"/>
    <n v="4593.8759999999993"/>
    <n v="4896.9409999999998"/>
  </r>
  <r>
    <x v="99"/>
    <x v="1"/>
    <s v="Rural"/>
    <n v="17921"/>
    <n v="523"/>
    <n v="2811"/>
    <n v="545"/>
    <n v="9754"/>
    <n v="4288"/>
    <n v="13110"/>
    <n v="7.0999999999999994E-2"/>
    <n v="0.19699999999999998"/>
    <n v="0.16500000000000001"/>
    <n v="37.132999999999996"/>
    <n v="199.58099999999999"/>
    <n v="107.36499999999999"/>
    <n v="1921.5379999999998"/>
    <n v="2028.9029999999998"/>
    <n v="2163.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itemPrintTitles="1" createdVersion="4" indent="0" outline="1" outlineData="1" multipleFieldFilters="0" rowHeaderCaption="LME-MCOs and Counties">
  <location ref="G5:K126" firstHeaderRow="0" firstDataRow="1" firstDataCol="1"/>
  <pivotFields count="22">
    <pivotField axis="axisRow" showAll="0">
      <items count="1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101"/>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t="default"/>
      </items>
    </pivotField>
    <pivotField axis="axisRow" showAll="0" insertBlankRow="1">
      <items count="14">
        <item x="7"/>
        <item x="0"/>
        <item x="8"/>
        <item x="5"/>
        <item x="3"/>
        <item x="4"/>
        <item x="9"/>
        <item h="1" x="11"/>
        <item x="6"/>
        <item x="2"/>
        <item x="1"/>
        <item m="1" x="12"/>
        <item h="1"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dataField="1" showAll="0"/>
    <pivotField showAll="0"/>
    <pivotField dataField="1" showAll="0"/>
  </pivotFields>
  <rowFields count="2">
    <field x="1"/>
    <field x="0"/>
  </rowFields>
  <rowItems count="121">
    <i>
      <x/>
    </i>
    <i r="1">
      <x v="25"/>
    </i>
    <i r="1">
      <x v="31"/>
    </i>
    <i r="1">
      <x v="50"/>
    </i>
    <i r="1">
      <x v="92"/>
    </i>
    <i t="blank">
      <x/>
    </i>
    <i>
      <x v="1"/>
    </i>
    <i r="1">
      <x/>
    </i>
    <i r="1">
      <x v="12"/>
    </i>
    <i r="1">
      <x v="16"/>
    </i>
    <i r="1">
      <x v="18"/>
    </i>
    <i r="1">
      <x v="28"/>
    </i>
    <i r="1">
      <x v="34"/>
    </i>
    <i r="1">
      <x v="38"/>
    </i>
    <i r="1">
      <x v="41"/>
    </i>
    <i r="1">
      <x v="68"/>
    </i>
    <i r="1">
      <x v="73"/>
    </i>
    <i r="1">
      <x v="80"/>
    </i>
    <i r="1">
      <x v="84"/>
    </i>
    <i r="1">
      <x v="90"/>
    </i>
    <i r="1">
      <x v="91"/>
    </i>
    <i r="1">
      <x v="93"/>
    </i>
    <i t="blank">
      <x v="1"/>
    </i>
    <i>
      <x v="2"/>
    </i>
    <i r="1">
      <x v="29"/>
    </i>
    <i r="1">
      <x v="33"/>
    </i>
    <i r="1">
      <x v="79"/>
    </i>
    <i r="1">
      <x v="85"/>
    </i>
    <i t="blank">
      <x v="2"/>
    </i>
    <i>
      <x v="3"/>
    </i>
    <i r="1">
      <x v="9"/>
    </i>
    <i r="1">
      <x v="15"/>
    </i>
    <i r="1">
      <x v="64"/>
    </i>
    <i r="1">
      <x v="67"/>
    </i>
    <i r="1">
      <x v="71"/>
    </i>
    <i t="blank">
      <x v="3"/>
    </i>
    <i>
      <x v="4"/>
    </i>
    <i r="1">
      <x v="6"/>
    </i>
    <i r="1">
      <x v="7"/>
    </i>
    <i r="1">
      <x v="14"/>
    </i>
    <i r="1">
      <x v="20"/>
    </i>
    <i r="1">
      <x v="24"/>
    </i>
    <i r="1">
      <x v="26"/>
    </i>
    <i r="1">
      <x v="27"/>
    </i>
    <i r="1">
      <x v="36"/>
    </i>
    <i r="1">
      <x v="45"/>
    </i>
    <i r="1">
      <x v="47"/>
    </i>
    <i r="1">
      <x v="51"/>
    </i>
    <i r="1">
      <x v="57"/>
    </i>
    <i r="1">
      <x v="66"/>
    </i>
    <i r="1">
      <x v="69"/>
    </i>
    <i r="1">
      <x v="70"/>
    </i>
    <i r="1">
      <x v="72"/>
    </i>
    <i r="1">
      <x v="74"/>
    </i>
    <i r="1">
      <x v="89"/>
    </i>
    <i r="1">
      <x v="94"/>
    </i>
    <i t="blank">
      <x v="4"/>
    </i>
    <i>
      <x v="5"/>
    </i>
    <i r="1">
      <x v="8"/>
    </i>
    <i r="1">
      <x v="23"/>
    </i>
    <i r="1">
      <x v="30"/>
    </i>
    <i r="1">
      <x v="32"/>
    </i>
    <i r="1">
      <x v="39"/>
    </i>
    <i r="1">
      <x v="53"/>
    </i>
    <i r="1">
      <x v="63"/>
    </i>
    <i r="1">
      <x v="78"/>
    </i>
    <i r="1">
      <x v="82"/>
    </i>
    <i r="1">
      <x v="83"/>
    </i>
    <i r="1">
      <x v="96"/>
    </i>
    <i r="1">
      <x v="98"/>
    </i>
    <i t="blank">
      <x v="5"/>
    </i>
    <i>
      <x v="6"/>
    </i>
    <i r="1">
      <x v="59"/>
    </i>
    <i t="blank">
      <x v="6"/>
    </i>
    <i>
      <x v="8"/>
    </i>
    <i r="1">
      <x v="11"/>
    </i>
    <i r="1">
      <x v="17"/>
    </i>
    <i r="1">
      <x v="22"/>
    </i>
    <i r="1">
      <x v="35"/>
    </i>
    <i r="1">
      <x v="48"/>
    </i>
    <i r="1">
      <x v="54"/>
    </i>
    <i r="1">
      <x v="86"/>
    </i>
    <i r="1">
      <x v="99"/>
    </i>
    <i t="blank">
      <x v="8"/>
    </i>
    <i>
      <x v="9"/>
    </i>
    <i r="1">
      <x v="3"/>
    </i>
    <i r="1">
      <x v="40"/>
    </i>
    <i r="1">
      <x v="42"/>
    </i>
    <i r="1">
      <x v="46"/>
    </i>
    <i r="1">
      <x v="52"/>
    </i>
    <i r="1">
      <x v="61"/>
    </i>
    <i r="1">
      <x v="62"/>
    </i>
    <i r="1">
      <x v="76"/>
    </i>
    <i r="1">
      <x v="77"/>
    </i>
    <i t="blank">
      <x v="9"/>
    </i>
    <i>
      <x v="10"/>
    </i>
    <i r="1">
      <x v="1"/>
    </i>
    <i r="1">
      <x v="2"/>
    </i>
    <i r="1">
      <x v="4"/>
    </i>
    <i r="1">
      <x v="5"/>
    </i>
    <i r="1">
      <x v="10"/>
    </i>
    <i r="1">
      <x v="13"/>
    </i>
    <i r="1">
      <x v="19"/>
    </i>
    <i r="1">
      <x v="21"/>
    </i>
    <i r="1">
      <x v="37"/>
    </i>
    <i r="1">
      <x v="43"/>
    </i>
    <i r="1">
      <x v="44"/>
    </i>
    <i r="1">
      <x v="49"/>
    </i>
    <i r="1">
      <x v="55"/>
    </i>
    <i r="1">
      <x v="56"/>
    </i>
    <i r="1">
      <x v="58"/>
    </i>
    <i r="1">
      <x v="60"/>
    </i>
    <i r="1">
      <x v="75"/>
    </i>
    <i r="1">
      <x v="81"/>
    </i>
    <i r="1">
      <x v="87"/>
    </i>
    <i r="1">
      <x v="88"/>
    </i>
    <i r="1">
      <x v="95"/>
    </i>
    <i r="1">
      <x v="97"/>
    </i>
    <i r="1">
      <x v="100"/>
    </i>
    <i t="blank">
      <x v="10"/>
    </i>
    <i t="grand">
      <x/>
    </i>
  </rowItems>
  <colFields count="1">
    <field x="-2"/>
  </colFields>
  <colItems count="4">
    <i>
      <x/>
    </i>
    <i i="1">
      <x v="1"/>
    </i>
    <i i="2">
      <x v="2"/>
    </i>
    <i i="3">
      <x v="3"/>
    </i>
  </colItems>
  <dataFields count="4">
    <dataField name="Children (Ages 3-17)" fld="15" baseField="1" baseItem="0" numFmtId="3"/>
    <dataField name="Adults (Ages 18-20)" fld="18" baseField="1" baseItem="0" numFmtId="3"/>
    <dataField name="NonElderly Adults (Ages 21-64)" fld="19" baseField="1" baseItem="0" numFmtId="3"/>
    <dataField name="Total NonElderly UnInsured Population (Ages 3-64)" fld="21" baseField="1" baseItem="0" numFmtId="3"/>
  </dataFields>
  <formats count="37">
    <format dxfId="703">
      <pivotArea dataOnly="0" labelOnly="1" outline="0" axis="axisValues" fieldPosition="0"/>
    </format>
    <format dxfId="702">
      <pivotArea type="all" dataOnly="0" outline="0" fieldPosition="0"/>
    </format>
    <format dxfId="701">
      <pivotArea outline="0" collapsedLevelsAreSubtotals="1" fieldPosition="0"/>
    </format>
    <format dxfId="700">
      <pivotArea dataOnly="0" labelOnly="1" outline="0" axis="axisValues" fieldPosition="0"/>
    </format>
    <format dxfId="699">
      <pivotArea outline="0" fieldPosition="0">
        <references count="1">
          <reference field="4294967294" count="1">
            <x v="1"/>
          </reference>
        </references>
      </pivotArea>
    </format>
    <format dxfId="698">
      <pivotArea outline="0" fieldPosition="0">
        <references count="1">
          <reference field="4294967294" count="1">
            <x v="2"/>
          </reference>
        </references>
      </pivotArea>
    </format>
    <format dxfId="697">
      <pivotArea outline="0" fieldPosition="0">
        <references count="1">
          <reference field="4294967294" count="1">
            <x v="3"/>
          </reference>
        </references>
      </pivotArea>
    </format>
    <format dxfId="696">
      <pivotArea dataOnly="0" labelOnly="1" outline="0" fieldPosition="0">
        <references count="1">
          <reference field="4294967294" count="4">
            <x v="0"/>
            <x v="1"/>
            <x v="2"/>
            <x v="3"/>
          </reference>
        </references>
      </pivotArea>
    </format>
    <format dxfId="695">
      <pivotArea dataOnly="0" labelOnly="1" outline="0" fieldPosition="0">
        <references count="1">
          <reference field="4294967294" count="4">
            <x v="0"/>
            <x v="1"/>
            <x v="2"/>
            <x v="3"/>
          </reference>
        </references>
      </pivotArea>
    </format>
    <format dxfId="694">
      <pivotArea dataOnly="0" labelOnly="1" outline="0" fieldPosition="0">
        <references count="1">
          <reference field="4294967294" count="4">
            <x v="0"/>
            <x v="1"/>
            <x v="2"/>
            <x v="3"/>
          </reference>
        </references>
      </pivotArea>
    </format>
    <format dxfId="693">
      <pivotArea field="1" type="button" dataOnly="0" labelOnly="1" outline="0" axis="axisRow" fieldPosition="0"/>
    </format>
    <format dxfId="692">
      <pivotArea collapsedLevelsAreSubtotals="1" fieldPosition="0">
        <references count="1">
          <reference field="1" count="1">
            <x v="0"/>
          </reference>
        </references>
      </pivotArea>
    </format>
    <format dxfId="691">
      <pivotArea dataOnly="0" labelOnly="1" fieldPosition="0">
        <references count="1">
          <reference field="1" count="1">
            <x v="0"/>
          </reference>
        </references>
      </pivotArea>
    </format>
    <format dxfId="690">
      <pivotArea collapsedLevelsAreSubtotals="1" fieldPosition="0">
        <references count="1">
          <reference field="1" count="1">
            <x v="1"/>
          </reference>
        </references>
      </pivotArea>
    </format>
    <format dxfId="689">
      <pivotArea dataOnly="0" labelOnly="1" fieldPosition="0">
        <references count="1">
          <reference field="1" count="1">
            <x v="1"/>
          </reference>
        </references>
      </pivotArea>
    </format>
    <format dxfId="688">
      <pivotArea collapsedLevelsAreSubtotals="1" fieldPosition="0">
        <references count="1">
          <reference field="1" count="1">
            <x v="2"/>
          </reference>
        </references>
      </pivotArea>
    </format>
    <format dxfId="687">
      <pivotArea dataOnly="0" labelOnly="1" fieldPosition="0">
        <references count="1">
          <reference field="1" count="1">
            <x v="2"/>
          </reference>
        </references>
      </pivotArea>
    </format>
    <format dxfId="686">
      <pivotArea collapsedLevelsAreSubtotals="1" fieldPosition="0">
        <references count="1">
          <reference field="1" count="1">
            <x v="3"/>
          </reference>
        </references>
      </pivotArea>
    </format>
    <format dxfId="685">
      <pivotArea dataOnly="0" labelOnly="1" fieldPosition="0">
        <references count="1">
          <reference field="1" count="1">
            <x v="3"/>
          </reference>
        </references>
      </pivotArea>
    </format>
    <format dxfId="684">
      <pivotArea collapsedLevelsAreSubtotals="1" fieldPosition="0">
        <references count="1">
          <reference field="1" count="1">
            <x v="4"/>
          </reference>
        </references>
      </pivotArea>
    </format>
    <format dxfId="683">
      <pivotArea dataOnly="0" labelOnly="1" fieldPosition="0">
        <references count="1">
          <reference field="1" count="1">
            <x v="4"/>
          </reference>
        </references>
      </pivotArea>
    </format>
    <format dxfId="682">
      <pivotArea collapsedLevelsAreSubtotals="1" fieldPosition="0">
        <references count="1">
          <reference field="1" count="1">
            <x v="5"/>
          </reference>
        </references>
      </pivotArea>
    </format>
    <format dxfId="681">
      <pivotArea dataOnly="0" labelOnly="1" fieldPosition="0">
        <references count="1">
          <reference field="1" count="1">
            <x v="5"/>
          </reference>
        </references>
      </pivotArea>
    </format>
    <format dxfId="680">
      <pivotArea collapsedLevelsAreSubtotals="1" fieldPosition="0">
        <references count="1">
          <reference field="1" count="1">
            <x v="6"/>
          </reference>
        </references>
      </pivotArea>
    </format>
    <format dxfId="679">
      <pivotArea dataOnly="0" labelOnly="1" fieldPosition="0">
        <references count="1">
          <reference field="1" count="1">
            <x v="6"/>
          </reference>
        </references>
      </pivotArea>
    </format>
    <format dxfId="678">
      <pivotArea collapsedLevelsAreSubtotals="1" fieldPosition="0">
        <references count="1">
          <reference field="1" count="1">
            <x v="8"/>
          </reference>
        </references>
      </pivotArea>
    </format>
    <format dxfId="677">
      <pivotArea dataOnly="0" labelOnly="1" fieldPosition="0">
        <references count="1">
          <reference field="1" count="1">
            <x v="8"/>
          </reference>
        </references>
      </pivotArea>
    </format>
    <format dxfId="676">
      <pivotArea collapsedLevelsAreSubtotals="1" fieldPosition="0">
        <references count="1">
          <reference field="1" count="1">
            <x v="9"/>
          </reference>
        </references>
      </pivotArea>
    </format>
    <format dxfId="675">
      <pivotArea dataOnly="0" labelOnly="1" fieldPosition="0">
        <references count="1">
          <reference field="1" count="1">
            <x v="9"/>
          </reference>
        </references>
      </pivotArea>
    </format>
    <format dxfId="674">
      <pivotArea collapsedLevelsAreSubtotals="1" fieldPosition="0">
        <references count="1">
          <reference field="1" count="1">
            <x v="10"/>
          </reference>
        </references>
      </pivotArea>
    </format>
    <format dxfId="673">
      <pivotArea dataOnly="0" labelOnly="1" fieldPosition="0">
        <references count="1">
          <reference field="1" count="1">
            <x v="10"/>
          </reference>
        </references>
      </pivotArea>
    </format>
    <format dxfId="672">
      <pivotArea collapsedLevelsAreSubtotals="1" fieldPosition="0">
        <references count="1">
          <reference field="1" count="1">
            <x v="11"/>
          </reference>
        </references>
      </pivotArea>
    </format>
    <format dxfId="671">
      <pivotArea dataOnly="0" labelOnly="1" fieldPosition="0">
        <references count="1">
          <reference field="1" count="1">
            <x v="11"/>
          </reference>
        </references>
      </pivotArea>
    </format>
    <format dxfId="670">
      <pivotArea field="1" type="button" dataOnly="0" labelOnly="1" outline="0" axis="axisRow" fieldPosition="0"/>
    </format>
    <format dxfId="669">
      <pivotArea dataOnly="0" labelOnly="1" outline="0" fieldPosition="0">
        <references count="1">
          <reference field="4294967294" count="4">
            <x v="0"/>
            <x v="1"/>
            <x v="2"/>
            <x v="3"/>
          </reference>
        </references>
      </pivotArea>
    </format>
    <format dxfId="668">
      <pivotArea grandRow="1" outline="0" collapsedLevelsAreSubtotals="1" fieldPosition="0"/>
    </format>
    <format dxfId="667">
      <pivotArea dataOnly="0" labelOnly="1" grandRow="1" outline="0" fieldPosition="0"/>
    </format>
  </formats>
  <pivotTableStyleInfo name="PivotStyleLight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itemPrintTitles="1" createdVersion="4" indent="0" outline="1" outlineData="1" multipleFieldFilters="0" rowHeaderCaption="LME-MCOs and Counties">
  <location ref="B5:F124" firstHeaderRow="0" firstDataRow="1" firstDataCol="1"/>
  <pivotFields count="22">
    <pivotField axis="axisRow" showAll="0">
      <items count="1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101"/>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t="default"/>
      </items>
    </pivotField>
    <pivotField axis="axisRow" showAll="0" insertBlankRow="1">
      <items count="14">
        <item x="7"/>
        <item x="0"/>
        <item x="8"/>
        <item x="5"/>
        <item x="3"/>
        <item x="4"/>
        <item m="1" x="11"/>
        <item h="1" x="10"/>
        <item x="6"/>
        <item x="2"/>
        <item x="1"/>
        <item m="1" x="12"/>
        <item h="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dataField="1" showAll="0"/>
    <pivotField showAll="0"/>
    <pivotField dataField="1" showAll="0"/>
  </pivotFields>
  <rowFields count="2">
    <field x="1"/>
    <field x="0"/>
  </rowFields>
  <rowItems count="119">
    <i>
      <x/>
    </i>
    <i r="1">
      <x v="25"/>
    </i>
    <i r="1">
      <x v="31"/>
    </i>
    <i r="1">
      <x v="50"/>
    </i>
    <i r="1">
      <x v="92"/>
    </i>
    <i t="blank">
      <x/>
    </i>
    <i>
      <x v="1"/>
    </i>
    <i r="1">
      <x/>
    </i>
    <i r="1">
      <x v="12"/>
    </i>
    <i r="1">
      <x v="16"/>
    </i>
    <i r="1">
      <x v="18"/>
    </i>
    <i r="1">
      <x v="28"/>
    </i>
    <i r="1">
      <x v="34"/>
    </i>
    <i r="1">
      <x v="38"/>
    </i>
    <i r="1">
      <x v="41"/>
    </i>
    <i r="1">
      <x v="59"/>
    </i>
    <i r="1">
      <x v="68"/>
    </i>
    <i r="1">
      <x v="73"/>
    </i>
    <i r="1">
      <x v="80"/>
    </i>
    <i r="1">
      <x v="84"/>
    </i>
    <i r="1">
      <x v="90"/>
    </i>
    <i r="1">
      <x v="91"/>
    </i>
    <i r="1">
      <x v="93"/>
    </i>
    <i t="blank">
      <x v="1"/>
    </i>
    <i>
      <x v="2"/>
    </i>
    <i r="1">
      <x v="29"/>
    </i>
    <i r="1">
      <x v="33"/>
    </i>
    <i r="1">
      <x v="79"/>
    </i>
    <i r="1">
      <x v="85"/>
    </i>
    <i t="blank">
      <x v="2"/>
    </i>
    <i>
      <x v="3"/>
    </i>
    <i r="1">
      <x v="9"/>
    </i>
    <i r="1">
      <x v="15"/>
    </i>
    <i r="1">
      <x v="64"/>
    </i>
    <i r="1">
      <x v="67"/>
    </i>
    <i r="1">
      <x v="71"/>
    </i>
    <i t="blank">
      <x v="3"/>
    </i>
    <i>
      <x v="4"/>
    </i>
    <i r="1">
      <x v="6"/>
    </i>
    <i r="1">
      <x v="7"/>
    </i>
    <i r="1">
      <x v="14"/>
    </i>
    <i r="1">
      <x v="20"/>
    </i>
    <i r="1">
      <x v="24"/>
    </i>
    <i r="1">
      <x v="26"/>
    </i>
    <i r="1">
      <x v="27"/>
    </i>
    <i r="1">
      <x v="36"/>
    </i>
    <i r="1">
      <x v="45"/>
    </i>
    <i r="1">
      <x v="47"/>
    </i>
    <i r="1">
      <x v="51"/>
    </i>
    <i r="1">
      <x v="57"/>
    </i>
    <i r="1">
      <x v="66"/>
    </i>
    <i r="1">
      <x v="69"/>
    </i>
    <i r="1">
      <x v="70"/>
    </i>
    <i r="1">
      <x v="72"/>
    </i>
    <i r="1">
      <x v="74"/>
    </i>
    <i r="1">
      <x v="89"/>
    </i>
    <i r="1">
      <x v="94"/>
    </i>
    <i t="blank">
      <x v="4"/>
    </i>
    <i>
      <x v="5"/>
    </i>
    <i r="1">
      <x v="8"/>
    </i>
    <i r="1">
      <x v="23"/>
    </i>
    <i r="1">
      <x v="30"/>
    </i>
    <i r="1">
      <x v="32"/>
    </i>
    <i r="1">
      <x v="39"/>
    </i>
    <i r="1">
      <x v="53"/>
    </i>
    <i r="1">
      <x v="63"/>
    </i>
    <i r="1">
      <x v="78"/>
    </i>
    <i r="1">
      <x v="82"/>
    </i>
    <i r="1">
      <x v="83"/>
    </i>
    <i r="1">
      <x v="96"/>
    </i>
    <i r="1">
      <x v="98"/>
    </i>
    <i t="blank">
      <x v="5"/>
    </i>
    <i>
      <x v="8"/>
    </i>
    <i r="1">
      <x v="11"/>
    </i>
    <i r="1">
      <x v="17"/>
    </i>
    <i r="1">
      <x v="22"/>
    </i>
    <i r="1">
      <x v="35"/>
    </i>
    <i r="1">
      <x v="48"/>
    </i>
    <i r="1">
      <x v="54"/>
    </i>
    <i r="1">
      <x v="86"/>
    </i>
    <i r="1">
      <x v="99"/>
    </i>
    <i t="blank">
      <x v="8"/>
    </i>
    <i>
      <x v="9"/>
    </i>
    <i r="1">
      <x v="3"/>
    </i>
    <i r="1">
      <x v="40"/>
    </i>
    <i r="1">
      <x v="42"/>
    </i>
    <i r="1">
      <x v="46"/>
    </i>
    <i r="1">
      <x v="52"/>
    </i>
    <i r="1">
      <x v="61"/>
    </i>
    <i r="1">
      <x v="62"/>
    </i>
    <i r="1">
      <x v="76"/>
    </i>
    <i r="1">
      <x v="77"/>
    </i>
    <i t="blank">
      <x v="9"/>
    </i>
    <i>
      <x v="10"/>
    </i>
    <i r="1">
      <x v="1"/>
    </i>
    <i r="1">
      <x v="2"/>
    </i>
    <i r="1">
      <x v="4"/>
    </i>
    <i r="1">
      <x v="5"/>
    </i>
    <i r="1">
      <x v="10"/>
    </i>
    <i r="1">
      <x v="13"/>
    </i>
    <i r="1">
      <x v="19"/>
    </i>
    <i r="1">
      <x v="21"/>
    </i>
    <i r="1">
      <x v="37"/>
    </i>
    <i r="1">
      <x v="43"/>
    </i>
    <i r="1">
      <x v="44"/>
    </i>
    <i r="1">
      <x v="49"/>
    </i>
    <i r="1">
      <x v="55"/>
    </i>
    <i r="1">
      <x v="56"/>
    </i>
    <i r="1">
      <x v="58"/>
    </i>
    <i r="1">
      <x v="60"/>
    </i>
    <i r="1">
      <x v="75"/>
    </i>
    <i r="1">
      <x v="81"/>
    </i>
    <i r="1">
      <x v="87"/>
    </i>
    <i r="1">
      <x v="88"/>
    </i>
    <i r="1">
      <x v="95"/>
    </i>
    <i r="1">
      <x v="97"/>
    </i>
    <i r="1">
      <x v="100"/>
    </i>
    <i t="blank">
      <x v="10"/>
    </i>
    <i t="grand">
      <x/>
    </i>
  </rowItems>
  <colFields count="1">
    <field x="-2"/>
  </colFields>
  <colItems count="4">
    <i>
      <x/>
    </i>
    <i i="1">
      <x v="1"/>
    </i>
    <i i="2">
      <x v="2"/>
    </i>
    <i i="3">
      <x v="3"/>
    </i>
  </colItems>
  <dataFields count="4">
    <dataField name="Children (Ages 3-17)" fld="15" baseField="1" baseItem="0" numFmtId="3"/>
    <dataField name="Adults (Ages 18-20)" fld="18" baseField="1" baseItem="0" numFmtId="3"/>
    <dataField name="NonElderly Adults (Ages 21-64)" fld="19" baseField="1" baseItem="0" numFmtId="3"/>
    <dataField name="Total NonElderly UnInsured Population (Ages 3-64)" fld="21" baseField="1" baseItem="0" numFmtId="3"/>
  </dataFields>
  <formats count="37">
    <format dxfId="666">
      <pivotArea dataOnly="0" labelOnly="1" outline="0" axis="axisValues" fieldPosition="0"/>
    </format>
    <format dxfId="665">
      <pivotArea type="all" dataOnly="0" outline="0" fieldPosition="0"/>
    </format>
    <format dxfId="664">
      <pivotArea outline="0" collapsedLevelsAreSubtotals="1" fieldPosition="0"/>
    </format>
    <format dxfId="663">
      <pivotArea dataOnly="0" labelOnly="1" outline="0" axis="axisValues" fieldPosition="0"/>
    </format>
    <format dxfId="662">
      <pivotArea outline="0" fieldPosition="0">
        <references count="1">
          <reference field="4294967294" count="1">
            <x v="1"/>
          </reference>
        </references>
      </pivotArea>
    </format>
    <format dxfId="661">
      <pivotArea outline="0" fieldPosition="0">
        <references count="1">
          <reference field="4294967294" count="1">
            <x v="2"/>
          </reference>
        </references>
      </pivotArea>
    </format>
    <format dxfId="660">
      <pivotArea outline="0" fieldPosition="0">
        <references count="1">
          <reference field="4294967294" count="1">
            <x v="3"/>
          </reference>
        </references>
      </pivotArea>
    </format>
    <format dxfId="659">
      <pivotArea dataOnly="0" labelOnly="1" outline="0" fieldPosition="0">
        <references count="1">
          <reference field="4294967294" count="4">
            <x v="0"/>
            <x v="1"/>
            <x v="2"/>
            <x v="3"/>
          </reference>
        </references>
      </pivotArea>
    </format>
    <format dxfId="658">
      <pivotArea dataOnly="0" labelOnly="1" outline="0" fieldPosition="0">
        <references count="1">
          <reference field="4294967294" count="4">
            <x v="0"/>
            <x v="1"/>
            <x v="2"/>
            <x v="3"/>
          </reference>
        </references>
      </pivotArea>
    </format>
    <format dxfId="657">
      <pivotArea dataOnly="0" labelOnly="1" outline="0" fieldPosition="0">
        <references count="1">
          <reference field="4294967294" count="4">
            <x v="0"/>
            <x v="1"/>
            <x v="2"/>
            <x v="3"/>
          </reference>
        </references>
      </pivotArea>
    </format>
    <format dxfId="656">
      <pivotArea field="1" type="button" dataOnly="0" labelOnly="1" outline="0" axis="axisRow" fieldPosition="0"/>
    </format>
    <format dxfId="655">
      <pivotArea collapsedLevelsAreSubtotals="1" fieldPosition="0">
        <references count="1">
          <reference field="1" count="1">
            <x v="0"/>
          </reference>
        </references>
      </pivotArea>
    </format>
    <format dxfId="654">
      <pivotArea dataOnly="0" labelOnly="1" fieldPosition="0">
        <references count="1">
          <reference field="1" count="1">
            <x v="0"/>
          </reference>
        </references>
      </pivotArea>
    </format>
    <format dxfId="653">
      <pivotArea collapsedLevelsAreSubtotals="1" fieldPosition="0">
        <references count="1">
          <reference field="1" count="1">
            <x v="1"/>
          </reference>
        </references>
      </pivotArea>
    </format>
    <format dxfId="652">
      <pivotArea dataOnly="0" labelOnly="1" fieldPosition="0">
        <references count="1">
          <reference field="1" count="1">
            <x v="1"/>
          </reference>
        </references>
      </pivotArea>
    </format>
    <format dxfId="651">
      <pivotArea collapsedLevelsAreSubtotals="1" fieldPosition="0">
        <references count="1">
          <reference field="1" count="1">
            <x v="2"/>
          </reference>
        </references>
      </pivotArea>
    </format>
    <format dxfId="650">
      <pivotArea dataOnly="0" labelOnly="1" fieldPosition="0">
        <references count="1">
          <reference field="1" count="1">
            <x v="2"/>
          </reference>
        </references>
      </pivotArea>
    </format>
    <format dxfId="649">
      <pivotArea collapsedLevelsAreSubtotals="1" fieldPosition="0">
        <references count="1">
          <reference field="1" count="1">
            <x v="3"/>
          </reference>
        </references>
      </pivotArea>
    </format>
    <format dxfId="648">
      <pivotArea dataOnly="0" labelOnly="1" fieldPosition="0">
        <references count="1">
          <reference field="1" count="1">
            <x v="3"/>
          </reference>
        </references>
      </pivotArea>
    </format>
    <format dxfId="647">
      <pivotArea collapsedLevelsAreSubtotals="1" fieldPosition="0">
        <references count="1">
          <reference field="1" count="1">
            <x v="4"/>
          </reference>
        </references>
      </pivotArea>
    </format>
    <format dxfId="646">
      <pivotArea dataOnly="0" labelOnly="1" fieldPosition="0">
        <references count="1">
          <reference field="1" count="1">
            <x v="4"/>
          </reference>
        </references>
      </pivotArea>
    </format>
    <format dxfId="645">
      <pivotArea collapsedLevelsAreSubtotals="1" fieldPosition="0">
        <references count="1">
          <reference field="1" count="1">
            <x v="5"/>
          </reference>
        </references>
      </pivotArea>
    </format>
    <format dxfId="644">
      <pivotArea dataOnly="0" labelOnly="1" fieldPosition="0">
        <references count="1">
          <reference field="1" count="1">
            <x v="5"/>
          </reference>
        </references>
      </pivotArea>
    </format>
    <format dxfId="643">
      <pivotArea collapsedLevelsAreSubtotals="1" fieldPosition="0">
        <references count="1">
          <reference field="1" count="1">
            <x v="6"/>
          </reference>
        </references>
      </pivotArea>
    </format>
    <format dxfId="642">
      <pivotArea dataOnly="0" labelOnly="1" fieldPosition="0">
        <references count="1">
          <reference field="1" count="1">
            <x v="6"/>
          </reference>
        </references>
      </pivotArea>
    </format>
    <format dxfId="641">
      <pivotArea collapsedLevelsAreSubtotals="1" fieldPosition="0">
        <references count="1">
          <reference field="1" count="1">
            <x v="8"/>
          </reference>
        </references>
      </pivotArea>
    </format>
    <format dxfId="640">
      <pivotArea dataOnly="0" labelOnly="1" fieldPosition="0">
        <references count="1">
          <reference field="1" count="1">
            <x v="8"/>
          </reference>
        </references>
      </pivotArea>
    </format>
    <format dxfId="639">
      <pivotArea collapsedLevelsAreSubtotals="1" fieldPosition="0">
        <references count="1">
          <reference field="1" count="1">
            <x v="9"/>
          </reference>
        </references>
      </pivotArea>
    </format>
    <format dxfId="638">
      <pivotArea dataOnly="0" labelOnly="1" fieldPosition="0">
        <references count="1">
          <reference field="1" count="1">
            <x v="9"/>
          </reference>
        </references>
      </pivotArea>
    </format>
    <format dxfId="637">
      <pivotArea collapsedLevelsAreSubtotals="1" fieldPosition="0">
        <references count="1">
          <reference field="1" count="1">
            <x v="10"/>
          </reference>
        </references>
      </pivotArea>
    </format>
    <format dxfId="636">
      <pivotArea dataOnly="0" labelOnly="1" fieldPosition="0">
        <references count="1">
          <reference field="1" count="1">
            <x v="10"/>
          </reference>
        </references>
      </pivotArea>
    </format>
    <format dxfId="635">
      <pivotArea collapsedLevelsAreSubtotals="1" fieldPosition="0">
        <references count="1">
          <reference field="1" count="1">
            <x v="11"/>
          </reference>
        </references>
      </pivotArea>
    </format>
    <format dxfId="634">
      <pivotArea dataOnly="0" labelOnly="1" fieldPosition="0">
        <references count="1">
          <reference field="1" count="1">
            <x v="11"/>
          </reference>
        </references>
      </pivotArea>
    </format>
    <format dxfId="633">
      <pivotArea field="1" type="button" dataOnly="0" labelOnly="1" outline="0" axis="axisRow" fieldPosition="0"/>
    </format>
    <format dxfId="632">
      <pivotArea dataOnly="0" labelOnly="1" outline="0" fieldPosition="0">
        <references count="1">
          <reference field="4294967294" count="4">
            <x v="0"/>
            <x v="1"/>
            <x v="2"/>
            <x v="3"/>
          </reference>
        </references>
      </pivotArea>
    </format>
    <format dxfId="631">
      <pivotArea grandRow="1" outline="0" collapsedLevelsAreSubtotals="1" fieldPosition="0"/>
    </format>
    <format dxfId="630">
      <pivotArea dataOnly="0" labelOnly="1" grandRow="1" outline="0" fieldPosition="0"/>
    </format>
  </formats>
  <pivotTableStyleInfo name="PivotStyleLight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itemPrintTitles="1" createdVersion="4" indent="0" outline="1" outlineData="1" multipleFieldFilters="0" rowHeaderCaption="LME-MCOs and Counties">
  <location ref="A4:E121"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9">
        <item x="6"/>
        <item x="0"/>
        <item x="7"/>
        <item x="4"/>
        <item x="5"/>
        <item x="2"/>
        <item x="1"/>
        <item x="3"/>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showAll="0"/>
    <pivotField dataField="1" showAll="0"/>
  </pivotFields>
  <rowFields count="2">
    <field x="1"/>
    <field x="0"/>
  </rowFields>
  <rowItems count="117">
    <i>
      <x/>
    </i>
    <i r="1">
      <x v="25"/>
    </i>
    <i r="1">
      <x v="31"/>
    </i>
    <i r="1">
      <x v="50"/>
    </i>
    <i r="1">
      <x v="91"/>
    </i>
    <i t="blank">
      <x/>
    </i>
    <i>
      <x v="1"/>
    </i>
    <i r="1">
      <x/>
    </i>
    <i r="1">
      <x v="12"/>
    </i>
    <i r="1">
      <x v="16"/>
    </i>
    <i r="1">
      <x v="18"/>
    </i>
    <i r="1">
      <x v="28"/>
    </i>
    <i r="1">
      <x v="34"/>
    </i>
    <i r="1">
      <x v="38"/>
    </i>
    <i r="1">
      <x v="41"/>
    </i>
    <i r="1">
      <x v="59"/>
    </i>
    <i r="1">
      <x v="67"/>
    </i>
    <i r="1">
      <x v="72"/>
    </i>
    <i r="1">
      <x v="79"/>
    </i>
    <i r="1">
      <x v="83"/>
    </i>
    <i r="1">
      <x v="89"/>
    </i>
    <i r="1">
      <x v="90"/>
    </i>
    <i r="1">
      <x v="92"/>
    </i>
    <i t="blank">
      <x v="1"/>
    </i>
    <i>
      <x v="2"/>
    </i>
    <i r="1">
      <x v="29"/>
    </i>
    <i r="1">
      <x v="33"/>
    </i>
    <i r="1">
      <x v="78"/>
    </i>
    <i r="1">
      <x v="84"/>
    </i>
    <i t="blank">
      <x v="2"/>
    </i>
    <i>
      <x v="3"/>
    </i>
    <i r="1">
      <x v="8"/>
    </i>
    <i r="1">
      <x v="23"/>
    </i>
    <i r="1">
      <x v="30"/>
    </i>
    <i r="1">
      <x v="32"/>
    </i>
    <i r="1">
      <x v="39"/>
    </i>
    <i r="1">
      <x v="53"/>
    </i>
    <i r="1">
      <x v="6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6"/>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6"/>
    </i>
    <i>
      <x v="7"/>
    </i>
    <i r="1">
      <x v="6"/>
    </i>
    <i r="1">
      <x v="7"/>
    </i>
    <i r="1">
      <x v="9"/>
    </i>
    <i r="1">
      <x v="14"/>
    </i>
    <i r="1">
      <x v="15"/>
    </i>
    <i r="1">
      <x v="20"/>
    </i>
    <i r="1">
      <x v="24"/>
    </i>
    <i r="1">
      <x v="26"/>
    </i>
    <i r="1">
      <x v="27"/>
    </i>
    <i r="1">
      <x v="36"/>
    </i>
    <i r="1">
      <x v="45"/>
    </i>
    <i r="1">
      <x v="47"/>
    </i>
    <i r="1">
      <x v="51"/>
    </i>
    <i r="1">
      <x v="57"/>
    </i>
    <i r="1">
      <x v="64"/>
    </i>
    <i r="1">
      <x v="65"/>
    </i>
    <i r="1">
      <x v="66"/>
    </i>
    <i r="1">
      <x v="68"/>
    </i>
    <i r="1">
      <x v="69"/>
    </i>
    <i r="1">
      <x v="70"/>
    </i>
    <i r="1">
      <x v="71"/>
    </i>
    <i r="1">
      <x v="73"/>
    </i>
    <i r="1">
      <x v="88"/>
    </i>
    <i r="1">
      <x v="93"/>
    </i>
    <i t="blank">
      <x v="7"/>
    </i>
    <i t="grand">
      <x/>
    </i>
  </rowItems>
  <colFields count="1">
    <field x="-2"/>
  </colFields>
  <colItems count="4">
    <i>
      <x/>
    </i>
    <i i="1">
      <x v="1"/>
    </i>
    <i i="2">
      <x v="2"/>
    </i>
    <i i="3">
      <x v="3"/>
    </i>
  </colItems>
  <dataFields count="4">
    <dataField name="Uninsured Children (Ages 3-17)" fld="14" baseField="1" baseItem="0" numFmtId="3"/>
    <dataField name="Uninsured NonElderly Adults (Ages 18-20)" fld="15" baseField="0" baseItem="64" numFmtId="3"/>
    <dataField name="Uninsured NonElderly Adults (Ages 21-64)" fld="16" baseField="1" baseItem="0" numFmtId="3"/>
    <dataField name="Total Uninsured NonElderly Population (Ages 3-64)" fld="18" baseField="1" baseItem="0" numFmtId="3"/>
  </dataFields>
  <formats count="32">
    <format dxfId="629">
      <pivotArea dataOnly="0" labelOnly="1" outline="0" axis="axisValues" fieldPosition="0"/>
    </format>
    <format dxfId="628">
      <pivotArea type="all" dataOnly="0" outline="0" fieldPosition="0"/>
    </format>
    <format dxfId="627">
      <pivotArea outline="0" collapsedLevelsAreSubtotals="1" fieldPosition="0"/>
    </format>
    <format dxfId="626">
      <pivotArea dataOnly="0" labelOnly="1" outline="0" axis="axisValues" fieldPosition="0"/>
    </format>
    <format dxfId="625">
      <pivotArea outline="0" fieldPosition="0">
        <references count="1">
          <reference field="4294967294" count="1">
            <x v="2"/>
          </reference>
        </references>
      </pivotArea>
    </format>
    <format dxfId="624">
      <pivotArea outline="0" fieldPosition="0">
        <references count="1">
          <reference field="4294967294" count="1">
            <x v="3"/>
          </reference>
        </references>
      </pivotArea>
    </format>
    <format dxfId="623">
      <pivotArea dataOnly="0" labelOnly="1" outline="0" fieldPosition="0">
        <references count="1">
          <reference field="4294967294" count="3">
            <x v="0"/>
            <x v="2"/>
            <x v="3"/>
          </reference>
        </references>
      </pivotArea>
    </format>
    <format dxfId="622">
      <pivotArea dataOnly="0" labelOnly="1" outline="0" fieldPosition="0">
        <references count="1">
          <reference field="4294967294" count="3">
            <x v="0"/>
            <x v="2"/>
            <x v="3"/>
          </reference>
        </references>
      </pivotArea>
    </format>
    <format dxfId="621">
      <pivotArea dataOnly="0" labelOnly="1" outline="0" fieldPosition="0">
        <references count="1">
          <reference field="4294967294" count="3">
            <x v="0"/>
            <x v="2"/>
            <x v="3"/>
          </reference>
        </references>
      </pivotArea>
    </format>
    <format dxfId="620">
      <pivotArea field="0" type="button" dataOnly="0" labelOnly="1" outline="0" axis="axisRow" fieldPosition="1"/>
    </format>
    <format dxfId="619">
      <pivotArea dataOnly="0" labelOnly="1" outline="0" fieldPosition="0">
        <references count="1">
          <reference field="4294967294" count="3">
            <x v="0"/>
            <x v="2"/>
            <x v="3"/>
          </reference>
        </references>
      </pivotArea>
    </format>
    <format dxfId="618">
      <pivotArea dataOnly="0" fieldPosition="0">
        <references count="1">
          <reference field="1" count="0"/>
        </references>
      </pivotArea>
    </format>
    <format dxfId="617">
      <pivotArea collapsedLevelsAreSubtotals="1" fieldPosition="0">
        <references count="2">
          <reference field="0" count="4">
            <x v="25"/>
            <x v="31"/>
            <x v="50"/>
            <x v="91"/>
          </reference>
          <reference field="1" count="1" selected="0">
            <x v="0"/>
          </reference>
        </references>
      </pivotArea>
    </format>
    <format dxfId="616">
      <pivotArea dataOnly="0" labelOnly="1" fieldPosition="0">
        <references count="2">
          <reference field="0" count="4">
            <x v="25"/>
            <x v="31"/>
            <x v="50"/>
            <x v="91"/>
          </reference>
          <reference field="1" count="1" selected="0">
            <x v="0"/>
          </reference>
        </references>
      </pivotArea>
    </format>
    <format dxfId="615">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614">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613">
      <pivotArea collapsedLevelsAreSubtotals="1" fieldPosition="0">
        <references count="2">
          <reference field="0" count="4">
            <x v="29"/>
            <x v="33"/>
            <x v="78"/>
            <x v="84"/>
          </reference>
          <reference field="1" count="1" selected="0">
            <x v="2"/>
          </reference>
        </references>
      </pivotArea>
    </format>
    <format dxfId="612">
      <pivotArea dataOnly="0" labelOnly="1" fieldPosition="0">
        <references count="2">
          <reference field="0" count="4">
            <x v="29"/>
            <x v="33"/>
            <x v="78"/>
            <x v="84"/>
          </reference>
          <reference field="1" count="1" selected="0">
            <x v="2"/>
          </reference>
        </references>
      </pivotArea>
    </format>
    <format dxfId="611">
      <pivotArea collapsedLevelsAreSubtotals="1" fieldPosition="0">
        <references count="2">
          <reference field="0" count="12">
            <x v="8"/>
            <x v="23"/>
            <x v="30"/>
            <x v="32"/>
            <x v="39"/>
            <x v="53"/>
            <x v="63"/>
            <x v="77"/>
            <x v="81"/>
            <x v="82"/>
            <x v="95"/>
            <x v="97"/>
          </reference>
          <reference field="1" count="1" selected="0">
            <x v="3"/>
          </reference>
        </references>
      </pivotArea>
    </format>
    <format dxfId="610">
      <pivotArea dataOnly="0" labelOnly="1" fieldPosition="0">
        <references count="2">
          <reference field="0" count="12">
            <x v="8"/>
            <x v="23"/>
            <x v="30"/>
            <x v="32"/>
            <x v="39"/>
            <x v="53"/>
            <x v="63"/>
            <x v="77"/>
            <x v="81"/>
            <x v="82"/>
            <x v="95"/>
            <x v="97"/>
          </reference>
          <reference field="1" count="1" selected="0">
            <x v="3"/>
          </reference>
        </references>
      </pivotArea>
    </format>
    <format dxfId="609">
      <pivotArea collapsedLevelsAreSubtotals="1" fieldPosition="0">
        <references count="2">
          <reference field="0" count="8">
            <x v="11"/>
            <x v="17"/>
            <x v="22"/>
            <x v="35"/>
            <x v="48"/>
            <x v="54"/>
            <x v="85"/>
            <x v="98"/>
          </reference>
          <reference field="1" count="1" selected="0">
            <x v="4"/>
          </reference>
        </references>
      </pivotArea>
    </format>
    <format dxfId="608">
      <pivotArea dataOnly="0" labelOnly="1" fieldPosition="0">
        <references count="2">
          <reference field="0" count="8">
            <x v="11"/>
            <x v="17"/>
            <x v="22"/>
            <x v="35"/>
            <x v="48"/>
            <x v="54"/>
            <x v="85"/>
            <x v="98"/>
          </reference>
          <reference field="1" count="1" selected="0">
            <x v="4"/>
          </reference>
        </references>
      </pivotArea>
    </format>
    <format dxfId="607">
      <pivotArea collapsedLevelsAreSubtotals="1" fieldPosition="0">
        <references count="2">
          <reference field="0" count="9">
            <x v="3"/>
            <x v="40"/>
            <x v="42"/>
            <x v="46"/>
            <x v="52"/>
            <x v="61"/>
            <x v="62"/>
            <x v="75"/>
            <x v="76"/>
          </reference>
          <reference field="1" count="1" selected="0">
            <x v="5"/>
          </reference>
        </references>
      </pivotArea>
    </format>
    <format dxfId="606">
      <pivotArea dataOnly="0" labelOnly="1" fieldPosition="0">
        <references count="2">
          <reference field="0" count="9">
            <x v="3"/>
            <x v="40"/>
            <x v="42"/>
            <x v="46"/>
            <x v="52"/>
            <x v="61"/>
            <x v="62"/>
            <x v="75"/>
            <x v="76"/>
          </reference>
          <reference field="1" count="1" selected="0">
            <x v="5"/>
          </reference>
        </references>
      </pivotArea>
    </format>
    <format dxfId="605">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604">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603">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602">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601">
      <pivotArea outline="0" fieldPosition="0">
        <references count="1">
          <reference field="4294967294" count="1">
            <x v="1"/>
          </reference>
        </references>
      </pivotArea>
    </format>
    <format dxfId="600">
      <pivotArea dataOnly="0" labelOnly="1" outline="0" fieldPosition="0">
        <references count="1">
          <reference field="4294967294" count="1">
            <x v="1"/>
          </reference>
        </references>
      </pivotArea>
    </format>
    <format dxfId="599">
      <pivotArea dataOnly="0" labelOnly="1" outline="0" fieldPosition="0">
        <references count="1">
          <reference field="4294967294" count="1">
            <x v="1"/>
          </reference>
        </references>
      </pivotArea>
    </format>
    <format dxfId="598">
      <pivotArea dataOnly="0" labelOnly="1" outline="0" fieldPosition="0">
        <references count="1">
          <reference field="4294967294" count="1">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1" applyNumberFormats="0" applyBorderFormats="0" applyFontFormats="0" applyPatternFormats="0" applyAlignmentFormats="0" applyWidthHeightFormats="1" dataCaption="Values" updatedVersion="5" minRefreshableVersion="3" itemPrintTitles="1" createdVersion="4" indent="0" outline="1" outlineData="1" multipleFieldFilters="0" rowHeaderCaption="LME-MCOs and Counties">
  <location ref="A4:E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7"/>
        <item x="4"/>
        <item x="5"/>
        <item x="2"/>
        <item m="1" x="8"/>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6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4">
    <i>
      <x/>
    </i>
    <i i="1">
      <x v="1"/>
    </i>
    <i i="2">
      <x v="2"/>
    </i>
    <i i="3">
      <x v="3"/>
    </i>
  </colItems>
  <dataFields count="4">
    <dataField name="Uninsured Children (Ages 3-17)" fld="14" baseField="1" baseItem="0" numFmtId="3"/>
    <dataField name="Uninsured NonElderly Adults (Ages 18-20)" fld="15" baseField="1" baseItem="0" numFmtId="3"/>
    <dataField name="Uninsured NonElderly Adults (Ages 21-64)" fld="16" baseField="1" baseItem="0" numFmtId="3"/>
    <dataField name="Total Uninsured NonElderly Population (Ages 3-64)" fld="18" baseField="1" baseItem="0" numFmtId="3"/>
  </dataFields>
  <formats count="39">
    <format dxfId="560">
      <pivotArea dataOnly="0" labelOnly="1" outline="0" axis="axisValues" fieldPosition="0"/>
    </format>
    <format dxfId="561">
      <pivotArea type="all" dataOnly="0" outline="0" fieldPosition="0"/>
    </format>
    <format dxfId="562">
      <pivotArea outline="0" collapsedLevelsAreSubtotals="1" fieldPosition="0"/>
    </format>
    <format dxfId="563">
      <pivotArea dataOnly="0" labelOnly="1" outline="0" axis="axisValues" fieldPosition="0"/>
    </format>
    <format dxfId="564">
      <pivotArea outline="0" fieldPosition="0">
        <references count="1">
          <reference field="4294967294" count="1">
            <x v="2"/>
          </reference>
        </references>
      </pivotArea>
    </format>
    <format dxfId="565">
      <pivotArea outline="0" fieldPosition="0">
        <references count="1">
          <reference field="4294967294" count="1">
            <x v="3"/>
          </reference>
        </references>
      </pivotArea>
    </format>
    <format dxfId="566">
      <pivotArea dataOnly="0" labelOnly="1" outline="0" fieldPosition="0">
        <references count="1">
          <reference field="4294967294" count="3">
            <x v="0"/>
            <x v="2"/>
            <x v="3"/>
          </reference>
        </references>
      </pivotArea>
    </format>
    <format dxfId="567">
      <pivotArea dataOnly="0" labelOnly="1" outline="0" fieldPosition="0">
        <references count="1">
          <reference field="4294967294" count="3">
            <x v="0"/>
            <x v="2"/>
            <x v="3"/>
          </reference>
        </references>
      </pivotArea>
    </format>
    <format dxfId="568">
      <pivotArea dataOnly="0" labelOnly="1" outline="0" fieldPosition="0">
        <references count="1">
          <reference field="4294967294" count="3">
            <x v="0"/>
            <x v="2"/>
            <x v="3"/>
          </reference>
        </references>
      </pivotArea>
    </format>
    <format dxfId="569">
      <pivotArea field="0" type="button" dataOnly="0" labelOnly="1" outline="0" axis="axisRow" fieldPosition="1"/>
    </format>
    <format dxfId="570">
      <pivotArea dataOnly="0" labelOnly="1" outline="0" fieldPosition="0">
        <references count="1">
          <reference field="4294967294" count="3">
            <x v="0"/>
            <x v="2"/>
            <x v="3"/>
          </reference>
        </references>
      </pivotArea>
    </format>
    <format dxfId="571">
      <pivotArea dataOnly="0" fieldPosition="0">
        <references count="1">
          <reference field="1" count="0"/>
        </references>
      </pivotArea>
    </format>
    <format dxfId="572">
      <pivotArea collapsedLevelsAreSubtotals="1" fieldPosition="0">
        <references count="2">
          <reference field="0" count="4">
            <x v="25"/>
            <x v="31"/>
            <x v="50"/>
            <x v="91"/>
          </reference>
          <reference field="1" count="1" selected="0">
            <x v="0"/>
          </reference>
        </references>
      </pivotArea>
    </format>
    <format dxfId="573">
      <pivotArea dataOnly="0" labelOnly="1" fieldPosition="0">
        <references count="2">
          <reference field="0" count="4">
            <x v="25"/>
            <x v="31"/>
            <x v="50"/>
            <x v="91"/>
          </reference>
          <reference field="1" count="1" selected="0">
            <x v="0"/>
          </reference>
        </references>
      </pivotArea>
    </format>
    <format dxfId="574">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575">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576">
      <pivotArea collapsedLevelsAreSubtotals="1" fieldPosition="0">
        <references count="2">
          <reference field="0" count="4">
            <x v="29"/>
            <x v="33"/>
            <x v="78"/>
            <x v="84"/>
          </reference>
          <reference field="1" count="1" selected="0">
            <x v="2"/>
          </reference>
        </references>
      </pivotArea>
    </format>
    <format dxfId="577">
      <pivotArea dataOnly="0" labelOnly="1" fieldPosition="0">
        <references count="2">
          <reference field="0" count="4">
            <x v="29"/>
            <x v="33"/>
            <x v="78"/>
            <x v="84"/>
          </reference>
          <reference field="1" count="1" selected="0">
            <x v="2"/>
          </reference>
        </references>
      </pivotArea>
    </format>
    <format dxfId="578">
      <pivotArea collapsedLevelsAreSubtotals="1" fieldPosition="0">
        <references count="2">
          <reference field="0" count="12">
            <x v="8"/>
            <x v="23"/>
            <x v="30"/>
            <x v="32"/>
            <x v="39"/>
            <x v="53"/>
            <x v="63"/>
            <x v="77"/>
            <x v="81"/>
            <x v="82"/>
            <x v="95"/>
            <x v="97"/>
          </reference>
          <reference field="1" count="1" selected="0">
            <x v="3"/>
          </reference>
        </references>
      </pivotArea>
    </format>
    <format dxfId="579">
      <pivotArea dataOnly="0" labelOnly="1" fieldPosition="0">
        <references count="2">
          <reference field="0" count="12">
            <x v="8"/>
            <x v="23"/>
            <x v="30"/>
            <x v="32"/>
            <x v="39"/>
            <x v="53"/>
            <x v="63"/>
            <x v="77"/>
            <x v="81"/>
            <x v="82"/>
            <x v="95"/>
            <x v="97"/>
          </reference>
          <reference field="1" count="1" selected="0">
            <x v="3"/>
          </reference>
        </references>
      </pivotArea>
    </format>
    <format dxfId="580">
      <pivotArea collapsedLevelsAreSubtotals="1" fieldPosition="0">
        <references count="2">
          <reference field="0" count="8">
            <x v="11"/>
            <x v="17"/>
            <x v="22"/>
            <x v="35"/>
            <x v="48"/>
            <x v="54"/>
            <x v="85"/>
            <x v="98"/>
          </reference>
          <reference field="1" count="1" selected="0">
            <x v="4"/>
          </reference>
        </references>
      </pivotArea>
    </format>
    <format dxfId="581">
      <pivotArea dataOnly="0" labelOnly="1" fieldPosition="0">
        <references count="2">
          <reference field="0" count="8">
            <x v="11"/>
            <x v="17"/>
            <x v="22"/>
            <x v="35"/>
            <x v="48"/>
            <x v="54"/>
            <x v="85"/>
            <x v="98"/>
          </reference>
          <reference field="1" count="1" selected="0">
            <x v="4"/>
          </reference>
        </references>
      </pivotArea>
    </format>
    <format dxfId="582">
      <pivotArea collapsedLevelsAreSubtotals="1" fieldPosition="0">
        <references count="2">
          <reference field="0" count="9">
            <x v="3"/>
            <x v="40"/>
            <x v="42"/>
            <x v="46"/>
            <x v="52"/>
            <x v="61"/>
            <x v="62"/>
            <x v="75"/>
            <x v="76"/>
          </reference>
          <reference field="1" count="1" selected="0">
            <x v="5"/>
          </reference>
        </references>
      </pivotArea>
    </format>
    <format dxfId="583">
      <pivotArea dataOnly="0" labelOnly="1" fieldPosition="0">
        <references count="2">
          <reference field="0" count="9">
            <x v="3"/>
            <x v="40"/>
            <x v="42"/>
            <x v="46"/>
            <x v="52"/>
            <x v="61"/>
            <x v="62"/>
            <x v="75"/>
            <x v="76"/>
          </reference>
          <reference field="1" count="1" selected="0">
            <x v="5"/>
          </reference>
        </references>
      </pivotArea>
    </format>
    <format dxfId="584">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585">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586">
      <pivotArea dataOnly="0" labelOnly="1" outline="0" fieldPosition="0">
        <references count="1">
          <reference field="4294967294" count="1">
            <x v="1"/>
          </reference>
        </references>
      </pivotArea>
    </format>
    <format dxfId="587">
      <pivotArea dataOnly="0" labelOnly="1" outline="0" fieldPosition="0">
        <references count="1">
          <reference field="4294967294" count="1">
            <x v="1"/>
          </reference>
        </references>
      </pivotArea>
    </format>
    <format dxfId="588">
      <pivotArea dataOnly="0" labelOnly="1" outline="0" fieldPosition="0">
        <references count="1">
          <reference field="4294967294" count="1">
            <x v="1"/>
          </reference>
        </references>
      </pivotArea>
    </format>
    <format dxfId="589">
      <pivotArea outline="0" fieldPosition="0">
        <references count="1">
          <reference field="4294967294" count="1">
            <x v="1"/>
          </reference>
        </references>
      </pivotArea>
    </format>
    <format dxfId="590">
      <pivotArea dataOnly="0" labelOnly="1" outline="0" fieldPosition="0">
        <references count="1">
          <reference field="4294967294" count="1">
            <x v="1"/>
          </reference>
        </references>
      </pivotArea>
    </format>
    <format dxfId="591">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592">
      <pivotArea dataOnly="0" labelOnly="1" fieldPosition="0">
        <references count="2">
          <reference field="0" count="15">
            <x v="28"/>
            <x v="29"/>
            <x v="33"/>
            <x v="34"/>
            <x v="38"/>
            <x v="41"/>
            <x v="59"/>
            <x v="67"/>
            <x v="72"/>
            <x v="78"/>
            <x v="79"/>
            <x v="83"/>
            <x v="84"/>
            <x v="89"/>
            <x v="90"/>
          </reference>
          <reference field="1" count="1" selected="0">
            <x v="1"/>
          </reference>
        </references>
      </pivotArea>
    </format>
    <format dxfId="593">
      <pivotArea outline="0" collapsedLevelsAreSubtotals="1" fieldPosition="0"/>
    </format>
    <format dxfId="594">
      <pivotArea dataOnly="0" labelOnly="1" fieldPosition="0">
        <references count="1">
          <reference field="1" count="0"/>
        </references>
      </pivotArea>
    </format>
    <format dxfId="595">
      <pivotArea dataOnly="0" labelOnly="1" grandRow="1" outline="0" fieldPosition="0"/>
    </format>
    <format dxfId="596">
      <pivotArea dataOnly="0" labelOnly="1" fieldPosition="0">
        <references count="2">
          <reference field="0" count="50">
            <x v="0"/>
            <x v="3"/>
            <x v="8"/>
            <x v="11"/>
            <x v="12"/>
            <x v="16"/>
            <x v="17"/>
            <x v="18"/>
            <x v="22"/>
            <x v="23"/>
            <x v="25"/>
            <x v="28"/>
            <x v="29"/>
            <x v="30"/>
            <x v="31"/>
            <x v="32"/>
            <x v="33"/>
            <x v="34"/>
            <x v="35"/>
            <x v="38"/>
            <x v="39"/>
            <x v="40"/>
            <x v="41"/>
            <x v="42"/>
            <x v="46"/>
            <x v="48"/>
            <x v="50"/>
            <x v="52"/>
            <x v="53"/>
            <x v="54"/>
            <x v="59"/>
            <x v="61"/>
            <x v="63"/>
            <x v="67"/>
            <x v="72"/>
            <x v="77"/>
            <x v="78"/>
            <x v="79"/>
            <x v="81"/>
            <x v="82"/>
            <x v="83"/>
            <x v="84"/>
            <x v="85"/>
            <x v="89"/>
            <x v="90"/>
            <x v="91"/>
            <x v="92"/>
            <x v="95"/>
            <x v="97"/>
            <x v="98"/>
          </reference>
          <reference field="1" count="1" selected="0">
            <x v="0"/>
          </reference>
        </references>
      </pivotArea>
    </format>
    <format dxfId="597">
      <pivotArea dataOnly="0" labelOnly="1" fieldPosition="0">
        <references count="2">
          <reference field="0" count="50">
            <x v="1"/>
            <x v="2"/>
            <x v="4"/>
            <x v="5"/>
            <x v="6"/>
            <x v="7"/>
            <x v="9"/>
            <x v="10"/>
            <x v="13"/>
            <x v="14"/>
            <x v="15"/>
            <x v="19"/>
            <x v="20"/>
            <x v="21"/>
            <x v="24"/>
            <x v="26"/>
            <x v="27"/>
            <x v="36"/>
            <x v="37"/>
            <x v="43"/>
            <x v="44"/>
            <x v="45"/>
            <x v="47"/>
            <x v="49"/>
            <x v="51"/>
            <x v="55"/>
            <x v="56"/>
            <x v="57"/>
            <x v="58"/>
            <x v="60"/>
            <x v="62"/>
            <x v="64"/>
            <x v="65"/>
            <x v="66"/>
            <x v="68"/>
            <x v="69"/>
            <x v="70"/>
            <x v="71"/>
            <x v="73"/>
            <x v="74"/>
            <x v="75"/>
            <x v="76"/>
            <x v="80"/>
            <x v="86"/>
            <x v="87"/>
            <x v="88"/>
            <x v="93"/>
            <x v="94"/>
            <x v="96"/>
            <x v="99"/>
          </reference>
          <reference field="1" count="1" selected="0">
            <x v="5"/>
          </reference>
        </references>
      </pivotArea>
    </format>
    <format dxfId="559">
      <pivotArea dataOnly="0" fieldPosition="0">
        <references count="1">
          <reference field="0" count="23">
            <x v="1"/>
            <x v="2"/>
            <x v="4"/>
            <x v="5"/>
            <x v="10"/>
            <x v="13"/>
            <x v="19"/>
            <x v="21"/>
            <x v="37"/>
            <x v="43"/>
            <x v="44"/>
            <x v="49"/>
            <x v="55"/>
            <x v="56"/>
            <x v="58"/>
            <x v="60"/>
            <x v="74"/>
            <x v="80"/>
            <x v="86"/>
            <x v="87"/>
            <x v="94"/>
            <x v="96"/>
            <x v="99"/>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xml"/><Relationship Id="rId1" Type="http://schemas.openxmlformats.org/officeDocument/2006/relationships/printerSettings" Target="../printerSettings/printerSettings32.bin"/><Relationship Id="rId4" Type="http://schemas.openxmlformats.org/officeDocument/2006/relationships/comments" Target="../comments2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3.xml"/><Relationship Id="rId1" Type="http://schemas.openxmlformats.org/officeDocument/2006/relationships/printerSettings" Target="../printerSettings/printerSettings33.bin"/><Relationship Id="rId4" Type="http://schemas.openxmlformats.org/officeDocument/2006/relationships/comments" Target="../comments21.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4.xml"/><Relationship Id="rId1" Type="http://schemas.openxmlformats.org/officeDocument/2006/relationships/printerSettings" Target="../printerSettings/printerSettings34.bin"/><Relationship Id="rId4" Type="http://schemas.openxmlformats.org/officeDocument/2006/relationships/comments" Target="../comments22.xm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ivotTable" Target="../pivotTables/pivotTable1.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5.xml"/><Relationship Id="rId1" Type="http://schemas.openxmlformats.org/officeDocument/2006/relationships/printerSettings" Target="../printerSettings/printerSettings36.bin"/><Relationship Id="rId4" Type="http://schemas.openxmlformats.org/officeDocument/2006/relationships/comments" Target="../comments23.xm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ivotTable" Target="../pivotTables/pivotTable2.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ivotTable" Target="../pivotTables/pivotTable4.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15"/>
  <sheetViews>
    <sheetView showGridLines="0" tabSelected="1" zoomScaleNormal="100" zoomScaleSheetLayoutView="100" workbookViewId="0">
      <selection activeCell="E7" sqref="E7:I7"/>
    </sheetView>
  </sheetViews>
  <sheetFormatPr defaultRowHeight="12.75"/>
  <cols>
    <col min="1" max="6" width="13.7109375" style="11" customWidth="1"/>
    <col min="7" max="7" width="2.7109375" style="11" customWidth="1"/>
    <col min="8" max="14" width="13.7109375" style="11" customWidth="1"/>
    <col min="15" max="16384" width="9.140625" style="11"/>
  </cols>
  <sheetData>
    <row r="1" spans="1:14" s="6" customFormat="1" ht="24.75" customHeight="1">
      <c r="A1" s="28" t="s">
        <v>12</v>
      </c>
      <c r="B1" s="16"/>
      <c r="C1" s="15"/>
      <c r="D1" s="15"/>
      <c r="E1" s="15"/>
      <c r="F1" s="15"/>
      <c r="G1" s="15"/>
      <c r="H1" s="15"/>
      <c r="I1" s="15"/>
      <c r="J1" s="15"/>
      <c r="K1" s="15"/>
      <c r="L1" s="15"/>
      <c r="M1" s="15"/>
      <c r="N1" s="15"/>
    </row>
    <row r="2" spans="1:14" s="6" customFormat="1" ht="24.75" customHeight="1">
      <c r="A2" s="18" t="s">
        <v>198</v>
      </c>
      <c r="B2" s="17"/>
      <c r="C2" s="15"/>
      <c r="D2" s="15"/>
      <c r="E2" s="15"/>
      <c r="F2" s="15"/>
      <c r="G2" s="15"/>
      <c r="H2" s="15"/>
      <c r="I2" s="15"/>
      <c r="J2" s="15"/>
      <c r="K2" s="15"/>
      <c r="L2" s="15"/>
      <c r="M2" s="15"/>
      <c r="N2" s="15"/>
    </row>
    <row r="3" spans="1:14" s="6" customFormat="1" ht="24.75" customHeight="1">
      <c r="A3" s="20"/>
      <c r="C3" s="14"/>
      <c r="E3" s="19" t="s">
        <v>196</v>
      </c>
      <c r="F3" s="516">
        <v>2017</v>
      </c>
      <c r="G3" s="517"/>
      <c r="H3" s="518"/>
      <c r="I3" s="21" t="str">
        <f>IF(F3="","&lt;--- Enter State Fiscal Year (YYYY)","")</f>
        <v/>
      </c>
      <c r="J3" s="7"/>
      <c r="K3" s="7"/>
      <c r="L3" s="7"/>
      <c r="M3" s="7"/>
      <c r="N3" s="7"/>
    </row>
    <row r="4" spans="1:14" s="6" customFormat="1" ht="24.75" customHeight="1">
      <c r="A4" s="20"/>
      <c r="C4" s="14"/>
      <c r="E4" s="19" t="s">
        <v>197</v>
      </c>
      <c r="F4" s="516" t="s">
        <v>465</v>
      </c>
      <c r="G4" s="517"/>
      <c r="H4" s="518"/>
      <c r="I4" s="21" t="str">
        <f>IF(F4="","&lt;--- Enter Report Quarter","")</f>
        <v/>
      </c>
      <c r="J4" s="7"/>
      <c r="K4" s="7"/>
      <c r="L4" s="7"/>
      <c r="M4" s="7"/>
      <c r="N4" s="7"/>
    </row>
    <row r="5" spans="1:14" s="6" customFormat="1" ht="24.75" customHeight="1">
      <c r="B5" s="14"/>
      <c r="C5" s="14"/>
      <c r="D5" s="14"/>
      <c r="E5" s="14"/>
      <c r="F5" s="14"/>
      <c r="H5" s="14"/>
      <c r="I5" s="7"/>
      <c r="J5" s="7"/>
      <c r="K5" s="7"/>
      <c r="L5" s="7"/>
      <c r="M5" s="7"/>
      <c r="N5" s="7"/>
    </row>
    <row r="6" spans="1:14" s="6" customFormat="1" ht="24.75" customHeight="1">
      <c r="B6" s="17"/>
      <c r="C6" s="26"/>
      <c r="D6" s="26"/>
      <c r="E6" s="25" t="s">
        <v>1</v>
      </c>
      <c r="F6" s="26"/>
      <c r="G6" s="17"/>
      <c r="H6" s="26"/>
      <c r="I6" s="26"/>
      <c r="J6" s="10"/>
      <c r="K6" s="27"/>
      <c r="L6" s="26"/>
      <c r="M6" s="27"/>
      <c r="N6" s="27"/>
    </row>
    <row r="7" spans="1:14" s="6" customFormat="1" ht="30" customHeight="1">
      <c r="A7" s="5"/>
      <c r="B7" s="7"/>
      <c r="D7" s="24" t="s">
        <v>2</v>
      </c>
      <c r="E7" s="519"/>
      <c r="F7" s="520"/>
      <c r="G7" s="520"/>
      <c r="H7" s="520"/>
      <c r="I7" s="521"/>
      <c r="J7" s="21" t="str">
        <f>IF(E7="","&lt;--- Enter Name of LME-MCO for the SFY and Report Quarter","")</f>
        <v>&lt;--- Enter Name of LME-MCO for the SFY and Report Quarter</v>
      </c>
      <c r="K7" s="10"/>
      <c r="L7" s="7"/>
      <c r="M7" s="2"/>
      <c r="N7" s="10"/>
    </row>
    <row r="8" spans="1:14" s="6" customFormat="1" ht="30" customHeight="1">
      <c r="A8" s="5"/>
      <c r="B8" s="7"/>
      <c r="D8" s="24" t="s">
        <v>9</v>
      </c>
      <c r="E8" s="29" t="s">
        <v>10</v>
      </c>
      <c r="F8" s="15"/>
      <c r="G8" s="15"/>
      <c r="H8" s="27"/>
      <c r="I8" s="15"/>
      <c r="J8" s="2"/>
      <c r="K8" s="10"/>
      <c r="L8" s="7"/>
      <c r="M8" s="2"/>
      <c r="N8" s="10"/>
    </row>
    <row r="9" spans="1:14" s="6" customFormat="1" ht="30" customHeight="1">
      <c r="A9" s="5"/>
      <c r="B9" s="7"/>
      <c r="D9" s="24" t="s">
        <v>25</v>
      </c>
      <c r="E9" s="510"/>
      <c r="F9" s="511"/>
      <c r="G9" s="511"/>
      <c r="H9" s="511"/>
      <c r="I9" s="512"/>
      <c r="J9" s="21" t="str">
        <f>IF(E9="","&lt;--- Enter Name of CEO","")</f>
        <v>&lt;--- Enter Name of CEO</v>
      </c>
      <c r="K9" s="10"/>
      <c r="L9" s="10"/>
      <c r="M9" s="10"/>
      <c r="N9" s="10"/>
    </row>
    <row r="10" spans="1:14" s="6" customFormat="1" ht="30" customHeight="1">
      <c r="A10" s="5"/>
      <c r="B10" s="7"/>
      <c r="D10" s="24" t="s">
        <v>26</v>
      </c>
      <c r="E10" s="510"/>
      <c r="F10" s="511"/>
      <c r="G10" s="511"/>
      <c r="H10" s="511"/>
      <c r="I10" s="512"/>
      <c r="J10" s="21" t="str">
        <f>IF(E10="","&lt;--- Enter Name of Contract Manager","")</f>
        <v>&lt;--- Enter Name of Contract Manager</v>
      </c>
      <c r="K10" s="10"/>
      <c r="L10" s="7"/>
      <c r="M10" s="10"/>
      <c r="N10" s="10"/>
    </row>
    <row r="11" spans="1:14" s="6" customFormat="1" ht="30" customHeight="1">
      <c r="A11" s="4"/>
      <c r="B11" s="7"/>
      <c r="D11" s="24" t="s">
        <v>24</v>
      </c>
      <c r="E11" s="510"/>
      <c r="F11" s="511"/>
      <c r="G11" s="511"/>
      <c r="H11" s="511"/>
      <c r="I11" s="512"/>
      <c r="J11" s="21" t="str">
        <f>IF(E11="","&lt;--- Enter Name of Person Completing Report","")</f>
        <v>&lt;--- Enter Name of Person Completing Report</v>
      </c>
      <c r="K11" s="10"/>
      <c r="L11" s="7"/>
      <c r="M11" s="10"/>
      <c r="N11" s="10"/>
    </row>
    <row r="12" spans="1:14" s="6" customFormat="1" ht="30" customHeight="1">
      <c r="A12" s="3"/>
      <c r="B12" s="8"/>
      <c r="D12" s="24" t="s">
        <v>27</v>
      </c>
      <c r="E12" s="513"/>
      <c r="F12" s="514"/>
      <c r="G12" s="514"/>
      <c r="H12" s="514"/>
      <c r="I12" s="515"/>
      <c r="J12" s="21" t="str">
        <f>IF(E12="","&lt;--- Enter Date Report Completed","")</f>
        <v>&lt;--- Enter Date Report Completed</v>
      </c>
      <c r="K12" s="9"/>
      <c r="L12" s="9"/>
      <c r="M12" s="9"/>
      <c r="N12" s="9"/>
    </row>
    <row r="13" spans="1:14" ht="14.25">
      <c r="A13" s="12"/>
      <c r="B13" s="13"/>
      <c r="C13" s="13"/>
      <c r="D13" s="13"/>
      <c r="E13" s="13"/>
      <c r="F13" s="13"/>
      <c r="H13" s="13"/>
      <c r="I13" s="13"/>
      <c r="J13" s="13"/>
      <c r="K13" s="13"/>
      <c r="L13" s="13"/>
      <c r="M13" s="13"/>
      <c r="N13" s="13"/>
    </row>
    <row r="14" spans="1:14" ht="14.25">
      <c r="A14" s="12"/>
      <c r="B14" s="13"/>
      <c r="C14" s="13"/>
      <c r="D14" s="13"/>
      <c r="E14" s="13"/>
      <c r="F14" s="13"/>
      <c r="H14" s="13"/>
      <c r="I14" s="13"/>
      <c r="J14" s="13"/>
      <c r="K14" s="13"/>
      <c r="L14" s="13"/>
      <c r="M14" s="13"/>
      <c r="N14" s="13"/>
    </row>
    <row r="15" spans="1:14" ht="14.25">
      <c r="A15" s="12"/>
      <c r="B15" s="13"/>
      <c r="C15" s="13"/>
      <c r="D15" s="13"/>
      <c r="E15" s="13"/>
      <c r="F15" s="13"/>
      <c r="H15" s="13"/>
      <c r="I15" s="13"/>
      <c r="J15" s="13"/>
      <c r="K15" s="13"/>
      <c r="L15" s="13"/>
      <c r="M15" s="13"/>
      <c r="N15" s="13"/>
    </row>
  </sheetData>
  <sheetProtection sheet="1" objects="1" scenarios="1" selectLockedCells="1"/>
  <mergeCells count="7">
    <mergeCell ref="E10:I10"/>
    <mergeCell ref="E11:I11"/>
    <mergeCell ref="E12:I12"/>
    <mergeCell ref="F3:H3"/>
    <mergeCell ref="E7:I7"/>
    <mergeCell ref="E9:I9"/>
    <mergeCell ref="F4:H4"/>
  </mergeCells>
  <phoneticPr fontId="11" type="noConversion"/>
  <conditionalFormatting sqref="F3:H3">
    <cfRule type="expression" dxfId="558" priority="9">
      <formula>$F$3=""</formula>
    </cfRule>
  </conditionalFormatting>
  <conditionalFormatting sqref="E7:I7">
    <cfRule type="expression" dxfId="557" priority="8">
      <formula>$E7=""</formula>
    </cfRule>
  </conditionalFormatting>
  <conditionalFormatting sqref="E9:I9">
    <cfRule type="expression" dxfId="556" priority="5">
      <formula>$E$9=""</formula>
    </cfRule>
  </conditionalFormatting>
  <conditionalFormatting sqref="E10:I10">
    <cfRule type="expression" dxfId="555" priority="4">
      <formula>$E$10=""</formula>
    </cfRule>
  </conditionalFormatting>
  <conditionalFormatting sqref="E11:I11">
    <cfRule type="expression" dxfId="554" priority="3">
      <formula>$E$11=""</formula>
    </cfRule>
  </conditionalFormatting>
  <conditionalFormatting sqref="E12:I12">
    <cfRule type="expression" dxfId="553" priority="2">
      <formula>$E$12=""</formula>
    </cfRule>
  </conditionalFormatting>
  <conditionalFormatting sqref="F4:H4">
    <cfRule type="expression" dxfId="552" priority="1">
      <formula>$F4=""</formula>
    </cfRule>
  </conditionalFormatting>
  <dataValidations count="3">
    <dataValidation type="list" operator="greaterThan" allowBlank="1" showInputMessage="1" showErrorMessage="1" prompt="Enter or Select the last 4 digits of the &quot;SFY&quot; from the drop-down list provided (e.g. SFY2013-2014 would be entered as &quot;2014&quot;)." sqref="F3">
      <formula1>"2012,2013,2014,2015,2016,2017,2018,2019,2020,2021,2022,2023,2024,2025"</formula1>
    </dataValidation>
    <dataValidation type="list" allowBlank="1" showInputMessage="1" showErrorMessage="1" prompt="Select the LME-MCO from the drop-down list." sqref="E7">
      <formula1>LME_MCO</formula1>
    </dataValidation>
    <dataValidation type="list" operator="greaterThan" allowBlank="1" showInputMessage="1" showErrorMessage="1" prompt="Select the &quot;Report Quarter&quot; from the drop-down list provided." sqref="F4">
      <formula1>"1st Quarter,2nd Quarter,3rd Quarter,4th Quarter"</formula1>
    </dataValidation>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W23"/>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140625" style="22" customWidth="1"/>
    <col min="2" max="4" width="16.7109375" style="22" customWidth="1"/>
    <col min="5" max="5" width="18.7109375" style="22" customWidth="1"/>
    <col min="6" max="6" width="19.7109375" style="22" customWidth="1"/>
    <col min="7" max="7" width="16.7109375" style="22" customWidth="1"/>
    <col min="8" max="8" width="18.7109375" style="22" customWidth="1"/>
    <col min="9" max="11" width="16.7109375" style="22" customWidth="1"/>
    <col min="12" max="12" width="18.7109375" style="22" customWidth="1"/>
    <col min="13" max="13" width="19.7109375" style="22" customWidth="1"/>
    <col min="14" max="14" width="16.7109375" style="22" customWidth="1"/>
    <col min="15" max="15" width="18.7109375" style="22" customWidth="1"/>
    <col min="16" max="18" width="16.7109375" style="22" customWidth="1"/>
    <col min="19" max="19" width="18.7109375" style="22" customWidth="1"/>
    <col min="20" max="20" width="19.7109375" style="22" customWidth="1"/>
    <col min="21" max="21" width="16.7109375" style="22" customWidth="1"/>
    <col min="22" max="22" width="18.7109375" style="22" customWidth="1"/>
    <col min="23" max="23" width="9.42578125" style="22" customWidth="1"/>
    <col min="24" max="16384" width="9.140625" style="22"/>
  </cols>
  <sheetData>
    <row r="1" spans="1:23" ht="15" customHeight="1">
      <c r="A1" s="36" t="s">
        <v>28</v>
      </c>
      <c r="I1" s="36" t="s">
        <v>332</v>
      </c>
      <c r="P1" s="36" t="s">
        <v>332</v>
      </c>
    </row>
    <row r="2" spans="1:23" ht="15" customHeight="1">
      <c r="A2" s="36" t="s">
        <v>198</v>
      </c>
      <c r="I2" s="358" t="s">
        <v>333</v>
      </c>
      <c r="P2" s="358" t="s">
        <v>333</v>
      </c>
    </row>
    <row r="3" spans="1:23" ht="15" customHeight="1">
      <c r="A3" s="30" t="s">
        <v>196</v>
      </c>
      <c r="C3" s="147">
        <f>IF('Set-Up Worksheet'!F3="","Data Not Entered On Set-Up Worksheet",'Set-Up Worksheet'!F3)</f>
        <v>2017</v>
      </c>
      <c r="D3" s="147"/>
      <c r="E3" s="38"/>
      <c r="F3" s="38"/>
      <c r="J3" s="147">
        <f t="shared" ref="J3:J4" si="0">C3</f>
        <v>2017</v>
      </c>
      <c r="K3" s="147"/>
      <c r="L3" s="38"/>
      <c r="M3" s="38"/>
      <c r="Q3" s="147">
        <f t="shared" ref="Q3:Q4" si="1">C3</f>
        <v>2017</v>
      </c>
      <c r="R3" s="147"/>
      <c r="S3" s="38"/>
      <c r="T3" s="38"/>
    </row>
    <row r="4" spans="1:23" ht="15" customHeight="1">
      <c r="A4" s="30" t="s">
        <v>197</v>
      </c>
      <c r="C4" s="147" t="str">
        <f>IF('Set-Up Worksheet'!F4="","Data Not Entered On Set-Up Worksheet",'Set-Up Worksheet'!F4)</f>
        <v>1st Quarter</v>
      </c>
      <c r="D4" s="147"/>
      <c r="E4" s="38"/>
      <c r="F4" s="32"/>
      <c r="J4" s="147" t="str">
        <f t="shared" si="0"/>
        <v>1st Quarter</v>
      </c>
      <c r="K4" s="147"/>
      <c r="L4" s="38"/>
      <c r="M4" s="32"/>
      <c r="Q4" s="147" t="str">
        <f t="shared" si="1"/>
        <v>1st Quarter</v>
      </c>
      <c r="R4" s="147"/>
      <c r="S4" s="38"/>
      <c r="T4" s="32"/>
    </row>
    <row r="5" spans="1:23" ht="15" customHeight="1">
      <c r="A5" s="30"/>
      <c r="C5" s="32"/>
      <c r="D5" s="32"/>
      <c r="E5" s="32"/>
      <c r="F5" s="32"/>
      <c r="J5" s="32"/>
      <c r="K5" s="32"/>
      <c r="L5" s="32"/>
      <c r="M5" s="32"/>
      <c r="Q5" s="32"/>
      <c r="R5" s="32"/>
      <c r="S5" s="32"/>
      <c r="T5" s="32"/>
    </row>
    <row r="6" spans="1:23" ht="15" customHeight="1">
      <c r="A6" s="30" t="s">
        <v>312</v>
      </c>
      <c r="C6" s="32"/>
      <c r="D6" s="32"/>
      <c r="E6" s="32"/>
      <c r="F6" s="32"/>
      <c r="I6" s="30" t="s">
        <v>334</v>
      </c>
      <c r="J6" s="32"/>
      <c r="K6" s="32"/>
      <c r="L6" s="32"/>
      <c r="M6" s="32"/>
      <c r="P6" s="30" t="s">
        <v>334</v>
      </c>
      <c r="Q6" s="32"/>
      <c r="R6" s="32"/>
      <c r="S6" s="32"/>
      <c r="T6" s="32"/>
    </row>
    <row r="7" spans="1:23" ht="15" customHeight="1">
      <c r="A7" s="30" t="s">
        <v>338</v>
      </c>
      <c r="C7" s="32"/>
      <c r="D7" s="32"/>
      <c r="E7" s="32"/>
      <c r="F7" s="32"/>
      <c r="I7" s="30" t="s">
        <v>423</v>
      </c>
      <c r="J7" s="32"/>
      <c r="K7" s="32"/>
      <c r="L7" s="32"/>
      <c r="M7" s="32"/>
      <c r="P7" s="30" t="s">
        <v>423</v>
      </c>
      <c r="Q7" s="32"/>
      <c r="R7" s="32"/>
      <c r="S7" s="32"/>
      <c r="T7" s="32"/>
    </row>
    <row r="8" spans="1:23" ht="15" customHeight="1">
      <c r="A8" s="30"/>
      <c r="C8" s="32"/>
      <c r="D8" s="32"/>
      <c r="E8" s="32"/>
      <c r="F8" s="32"/>
      <c r="J8" s="32"/>
      <c r="K8" s="32"/>
      <c r="L8" s="32"/>
      <c r="M8" s="32"/>
      <c r="Q8" s="32"/>
      <c r="R8" s="32"/>
      <c r="S8" s="32"/>
      <c r="T8" s="32"/>
    </row>
    <row r="9" spans="1:23" ht="15" customHeight="1">
      <c r="A9" s="30" t="s">
        <v>29</v>
      </c>
      <c r="C9" s="39" t="str">
        <f>IF('Set-Up Worksheet'!E7="","Data Not Entered On Set-Up Worksheet",'Set-Up Worksheet'!E7)</f>
        <v>Data Not Entered On Set-Up Worksheet</v>
      </c>
      <c r="D9" s="39"/>
      <c r="E9" s="39"/>
      <c r="F9" s="80"/>
      <c r="J9" s="39" t="str">
        <f t="shared" ref="J9:J11" si="2">C9</f>
        <v>Data Not Entered On Set-Up Worksheet</v>
      </c>
      <c r="K9" s="39"/>
      <c r="L9" s="39"/>
      <c r="M9" s="80"/>
      <c r="Q9" s="39" t="str">
        <f t="shared" ref="Q9:Q11" si="3">C9</f>
        <v>Data Not Entered On Set-Up Worksheet</v>
      </c>
      <c r="R9" s="39"/>
      <c r="S9" s="39"/>
      <c r="T9" s="80"/>
    </row>
    <row r="10" spans="1:23" ht="15" customHeight="1">
      <c r="A10" s="30" t="s">
        <v>9</v>
      </c>
      <c r="C10" s="32" t="s">
        <v>10</v>
      </c>
      <c r="D10" s="32"/>
      <c r="E10" s="32"/>
      <c r="F10" s="32"/>
      <c r="J10" s="39" t="str">
        <f t="shared" si="2"/>
        <v>Behavioral Health</v>
      </c>
      <c r="K10" s="32"/>
      <c r="L10" s="32"/>
      <c r="M10" s="32"/>
      <c r="Q10" s="39" t="str">
        <f t="shared" si="3"/>
        <v>Behavioral Health</v>
      </c>
      <c r="R10" s="32"/>
      <c r="S10" s="32"/>
      <c r="T10" s="32"/>
    </row>
    <row r="11" spans="1:23" ht="15" customHeight="1">
      <c r="A11" s="30" t="s">
        <v>199</v>
      </c>
      <c r="C11" s="40" t="str">
        <f>IF(C4="Data Not Entered On Set-Up Worksheet","Data Not Entered On Set-Up Worksheet",IF(C4="1st Quarter",'Report Schedule'!D22,IF(C4="2nd Quarter",'Report Schedule'!E22,IF(C4="3rd Quarter",'Report Schedule'!F22,IF(C4="4th Quarter",'Report Schedule'!G22,"")))))</f>
        <v>Apr - Jun 2016</v>
      </c>
      <c r="D11" s="40"/>
      <c r="E11" s="313" t="str">
        <f>IF(COUNTA(B17:F19)&lt;&gt;15,"Enter data in yellow shaded cells","")</f>
        <v>Enter data in yellow shaded cells</v>
      </c>
      <c r="F11" s="40"/>
      <c r="J11" s="40" t="str">
        <f t="shared" si="2"/>
        <v>Apr - Jun 2016</v>
      </c>
      <c r="K11" s="40"/>
      <c r="L11" s="313" t="str">
        <f>IF(COUNTA(I17:M19)&lt;&gt;15,"Enter data in yellow shaded cells","")</f>
        <v>Enter data in yellow shaded cells</v>
      </c>
      <c r="M11" s="40"/>
      <c r="Q11" s="40" t="str">
        <f t="shared" si="3"/>
        <v>Apr - Jun 2016</v>
      </c>
      <c r="R11" s="40"/>
      <c r="S11" s="313" t="str">
        <f>IF(COUNTA(P17:T19)&lt;&gt;15,"Enter data in yellow shaded cells","")</f>
        <v>Enter data in yellow shaded cells</v>
      </c>
      <c r="T11" s="40"/>
    </row>
    <row r="12" spans="1:23" ht="15" customHeight="1">
      <c r="A12" s="30"/>
      <c r="C12" s="40"/>
      <c r="D12" s="40"/>
      <c r="E12" s="40"/>
      <c r="F12" s="40"/>
      <c r="J12" s="40"/>
      <c r="K12" s="40"/>
      <c r="L12" s="40"/>
      <c r="M12" s="40"/>
      <c r="Q12" s="40"/>
      <c r="R12" s="40"/>
      <c r="S12" s="40"/>
      <c r="T12" s="40"/>
    </row>
    <row r="13" spans="1:23" ht="15" customHeight="1" thickBot="1">
      <c r="A13" s="30"/>
      <c r="C13" s="40"/>
      <c r="D13" s="40"/>
      <c r="E13" s="40"/>
      <c r="F13" s="40"/>
      <c r="J13" s="40"/>
      <c r="K13" s="40"/>
      <c r="L13" s="40"/>
      <c r="M13" s="40"/>
      <c r="Q13" s="40"/>
      <c r="R13" s="40"/>
      <c r="S13" s="40"/>
      <c r="T13" s="40"/>
    </row>
    <row r="14" spans="1:23" ht="18" customHeight="1" thickBot="1">
      <c r="A14" s="368" t="s">
        <v>330</v>
      </c>
      <c r="B14" s="382" t="s">
        <v>39</v>
      </c>
      <c r="C14" s="366"/>
      <c r="D14" s="366"/>
      <c r="E14" s="366"/>
      <c r="F14" s="366"/>
      <c r="G14" s="366"/>
      <c r="H14" s="367"/>
      <c r="I14" s="383" t="s">
        <v>244</v>
      </c>
      <c r="J14" s="375"/>
      <c r="K14" s="375"/>
      <c r="L14" s="375"/>
      <c r="M14" s="375"/>
      <c r="N14" s="375"/>
      <c r="O14" s="376"/>
      <c r="P14" s="384" t="s">
        <v>246</v>
      </c>
      <c r="Q14" s="366"/>
      <c r="R14" s="366"/>
      <c r="S14" s="366"/>
      <c r="T14" s="366"/>
      <c r="U14" s="366"/>
      <c r="V14" s="367"/>
    </row>
    <row r="15" spans="1:23" ht="13.5" thickBot="1">
      <c r="B15" s="45" t="s">
        <v>323</v>
      </c>
      <c r="C15" s="45"/>
      <c r="D15" s="45"/>
      <c r="E15" s="45" t="s">
        <v>324</v>
      </c>
      <c r="F15" s="45" t="s">
        <v>4</v>
      </c>
      <c r="G15" s="225" t="s">
        <v>325</v>
      </c>
      <c r="H15" s="225" t="s">
        <v>326</v>
      </c>
      <c r="I15" s="45" t="s">
        <v>323</v>
      </c>
      <c r="J15" s="45"/>
      <c r="K15" s="45"/>
      <c r="L15" s="45" t="s">
        <v>324</v>
      </c>
      <c r="M15" s="45" t="s">
        <v>4</v>
      </c>
      <c r="N15" s="225" t="s">
        <v>325</v>
      </c>
      <c r="O15" s="225" t="s">
        <v>326</v>
      </c>
      <c r="P15" s="45" t="s">
        <v>323</v>
      </c>
      <c r="Q15" s="45"/>
      <c r="R15" s="45"/>
      <c r="S15" s="45" t="s">
        <v>324</v>
      </c>
      <c r="T15" s="45" t="s">
        <v>4</v>
      </c>
      <c r="U15" s="225" t="s">
        <v>325</v>
      </c>
      <c r="V15" s="225" t="s">
        <v>326</v>
      </c>
      <c r="W15" s="37"/>
    </row>
    <row r="16" spans="1:23" ht="69.95" customHeight="1">
      <c r="A16" s="371" t="s">
        <v>38</v>
      </c>
      <c r="B16" s="369" t="s">
        <v>319</v>
      </c>
      <c r="C16" s="351" t="s">
        <v>313</v>
      </c>
      <c r="D16" s="351" t="s">
        <v>315</v>
      </c>
      <c r="E16" s="351" t="s">
        <v>320</v>
      </c>
      <c r="F16" s="351" t="s">
        <v>314</v>
      </c>
      <c r="G16" s="362" t="s">
        <v>317</v>
      </c>
      <c r="H16" s="352" t="s">
        <v>316</v>
      </c>
      <c r="I16" s="377" t="s">
        <v>319</v>
      </c>
      <c r="J16" s="345" t="s">
        <v>313</v>
      </c>
      <c r="K16" s="345" t="s">
        <v>315</v>
      </c>
      <c r="L16" s="345" t="s">
        <v>320</v>
      </c>
      <c r="M16" s="345" t="s">
        <v>314</v>
      </c>
      <c r="N16" s="378" t="s">
        <v>317</v>
      </c>
      <c r="O16" s="346" t="s">
        <v>316</v>
      </c>
      <c r="P16" s="381" t="s">
        <v>319</v>
      </c>
      <c r="Q16" s="351" t="s">
        <v>313</v>
      </c>
      <c r="R16" s="351" t="s">
        <v>315</v>
      </c>
      <c r="S16" s="351" t="s">
        <v>320</v>
      </c>
      <c r="T16" s="351" t="s">
        <v>314</v>
      </c>
      <c r="U16" s="362" t="s">
        <v>317</v>
      </c>
      <c r="V16" s="352" t="s">
        <v>316</v>
      </c>
    </row>
    <row r="17" spans="1:23" ht="36" customHeight="1">
      <c r="A17" s="408" t="s">
        <v>432</v>
      </c>
      <c r="B17" s="360"/>
      <c r="C17" s="42"/>
      <c r="D17" s="42"/>
      <c r="E17" s="42"/>
      <c r="F17" s="42"/>
      <c r="G17" s="43">
        <f t="shared" ref="G17:G21" si="4">IF($F17=0,0,B17/$F17)</f>
        <v>0</v>
      </c>
      <c r="H17" s="347">
        <f t="shared" ref="H17:H21" si="5">IF($F17=0,0,E17/$F17)</f>
        <v>0</v>
      </c>
      <c r="I17" s="52"/>
      <c r="J17" s="42"/>
      <c r="K17" s="42"/>
      <c r="L17" s="42"/>
      <c r="M17" s="42"/>
      <c r="N17" s="43">
        <f>IF($M17=0,0,I17/$M17)</f>
        <v>0</v>
      </c>
      <c r="O17" s="347">
        <f>IF($M17=0,0,L17/$M17)</f>
        <v>0</v>
      </c>
      <c r="P17" s="52"/>
      <c r="Q17" s="42"/>
      <c r="R17" s="42"/>
      <c r="S17" s="42"/>
      <c r="T17" s="42"/>
      <c r="U17" s="43">
        <f>IF($T17=0,0,P17/$T17)</f>
        <v>0</v>
      </c>
      <c r="V17" s="347">
        <f>IF($T17=0,0,S17/$T17)</f>
        <v>0</v>
      </c>
    </row>
    <row r="18" spans="1:23" ht="36" customHeight="1">
      <c r="A18" s="407" t="s">
        <v>7</v>
      </c>
      <c r="B18" s="360"/>
      <c r="C18" s="42"/>
      <c r="D18" s="42"/>
      <c r="E18" s="42"/>
      <c r="F18" s="42"/>
      <c r="G18" s="43">
        <f t="shared" si="4"/>
        <v>0</v>
      </c>
      <c r="H18" s="347">
        <f t="shared" si="5"/>
        <v>0</v>
      </c>
      <c r="I18" s="52"/>
      <c r="J18" s="42"/>
      <c r="K18" s="42"/>
      <c r="L18" s="42"/>
      <c r="M18" s="42"/>
      <c r="N18" s="43">
        <f>IF($M18=0,0,I18/$M18)</f>
        <v>0</v>
      </c>
      <c r="O18" s="347">
        <f>IF($M18=0,0,L18/$M18)</f>
        <v>0</v>
      </c>
      <c r="P18" s="52"/>
      <c r="Q18" s="42"/>
      <c r="R18" s="42"/>
      <c r="S18" s="42"/>
      <c r="T18" s="42"/>
      <c r="U18" s="43">
        <f>IF($T18=0,0,P18/$T18)</f>
        <v>0</v>
      </c>
      <c r="V18" s="347">
        <f>IF($T18=0,0,S18/$T18)</f>
        <v>0</v>
      </c>
      <c r="W18" s="41"/>
    </row>
    <row r="19" spans="1:23" ht="36" customHeight="1">
      <c r="A19" s="408" t="s">
        <v>318</v>
      </c>
      <c r="B19" s="360"/>
      <c r="C19" s="42"/>
      <c r="D19" s="42"/>
      <c r="E19" s="42"/>
      <c r="F19" s="42"/>
      <c r="G19" s="43">
        <f t="shared" si="4"/>
        <v>0</v>
      </c>
      <c r="H19" s="347">
        <f t="shared" si="5"/>
        <v>0</v>
      </c>
      <c r="I19" s="52"/>
      <c r="J19" s="42"/>
      <c r="K19" s="42"/>
      <c r="L19" s="42"/>
      <c r="M19" s="42"/>
      <c r="N19" s="43">
        <f>IF($M19=0,0,I19/$M19)</f>
        <v>0</v>
      </c>
      <c r="O19" s="347">
        <f>IF($M19=0,0,L19/$M19)</f>
        <v>0</v>
      </c>
      <c r="P19" s="52"/>
      <c r="Q19" s="42"/>
      <c r="R19" s="42"/>
      <c r="S19" s="42"/>
      <c r="T19" s="42"/>
      <c r="U19" s="43">
        <f>IF($T19=0,0,P19/$T19)</f>
        <v>0</v>
      </c>
      <c r="V19" s="347">
        <f>IF($T19=0,0,S19/$T19)</f>
        <v>0</v>
      </c>
    </row>
    <row r="20" spans="1:23" ht="36" customHeight="1">
      <c r="A20" s="408" t="s">
        <v>321</v>
      </c>
      <c r="B20" s="361">
        <f>SUM(B18:B19)</f>
        <v>0</v>
      </c>
      <c r="C20" s="46">
        <f t="shared" ref="C20:F20" si="6">SUM(C18:C19)</f>
        <v>0</v>
      </c>
      <c r="D20" s="46">
        <f t="shared" si="6"/>
        <v>0</v>
      </c>
      <c r="E20" s="46">
        <f t="shared" si="6"/>
        <v>0</v>
      </c>
      <c r="F20" s="46">
        <f t="shared" si="6"/>
        <v>0</v>
      </c>
      <c r="G20" s="43">
        <f t="shared" si="4"/>
        <v>0</v>
      </c>
      <c r="H20" s="347">
        <f t="shared" si="5"/>
        <v>0</v>
      </c>
      <c r="I20" s="379">
        <f>SUM(I18:I19)</f>
        <v>0</v>
      </c>
      <c r="J20" s="46">
        <f t="shared" ref="J20:M20" si="7">SUM(J18:J19)</f>
        <v>0</v>
      </c>
      <c r="K20" s="46">
        <f t="shared" si="7"/>
        <v>0</v>
      </c>
      <c r="L20" s="46">
        <f t="shared" si="7"/>
        <v>0</v>
      </c>
      <c r="M20" s="46">
        <f t="shared" si="7"/>
        <v>0</v>
      </c>
      <c r="N20" s="43">
        <f>IF($M20=0,0,I20/$M20)</f>
        <v>0</v>
      </c>
      <c r="O20" s="347">
        <f>IF($M20=0,0,L20/$M20)</f>
        <v>0</v>
      </c>
      <c r="P20" s="379">
        <f>SUM(P18:P19)</f>
        <v>0</v>
      </c>
      <c r="Q20" s="46">
        <f t="shared" ref="Q20:T20" si="8">SUM(Q18:Q19)</f>
        <v>0</v>
      </c>
      <c r="R20" s="46">
        <f t="shared" si="8"/>
        <v>0</v>
      </c>
      <c r="S20" s="46">
        <f t="shared" si="8"/>
        <v>0</v>
      </c>
      <c r="T20" s="46">
        <f t="shared" si="8"/>
        <v>0</v>
      </c>
      <c r="U20" s="43">
        <f>IF($T20=0,0,P20/$T20)</f>
        <v>0</v>
      </c>
      <c r="V20" s="347">
        <f>IF($T20=0,0,S20/$T20)</f>
        <v>0</v>
      </c>
    </row>
    <row r="21" spans="1:23" ht="36" customHeight="1" thickBot="1">
      <c r="A21" s="432" t="s">
        <v>451</v>
      </c>
      <c r="B21" s="370">
        <f>SUM(B17:B19)</f>
        <v>0</v>
      </c>
      <c r="C21" s="363">
        <f>SUM(C17:C19)</f>
        <v>0</v>
      </c>
      <c r="D21" s="363">
        <f>SUM(D17:D19)</f>
        <v>0</v>
      </c>
      <c r="E21" s="363">
        <f>SUM(E17:E19)</f>
        <v>0</v>
      </c>
      <c r="F21" s="363">
        <f>SUM(F17:F19)</f>
        <v>0</v>
      </c>
      <c r="G21" s="364">
        <f t="shared" si="4"/>
        <v>0</v>
      </c>
      <c r="H21" s="365">
        <f t="shared" si="5"/>
        <v>0</v>
      </c>
      <c r="I21" s="380">
        <f>SUM(I17:I19)</f>
        <v>0</v>
      </c>
      <c r="J21" s="363">
        <f>SUM(J17:J19)</f>
        <v>0</v>
      </c>
      <c r="K21" s="363">
        <f>SUM(K17:K19)</f>
        <v>0</v>
      </c>
      <c r="L21" s="363">
        <f>SUM(L17:L19)</f>
        <v>0</v>
      </c>
      <c r="M21" s="363">
        <f>SUM(M17:M19)</f>
        <v>0</v>
      </c>
      <c r="N21" s="364">
        <f>IF($M21=0,0,I21/$M21)</f>
        <v>0</v>
      </c>
      <c r="O21" s="365">
        <f>IF($M21=0,0,L21/$M21)</f>
        <v>0</v>
      </c>
      <c r="P21" s="380">
        <f>SUM(P17:P19)</f>
        <v>0</v>
      </c>
      <c r="Q21" s="363">
        <f>SUM(Q17:Q19)</f>
        <v>0</v>
      </c>
      <c r="R21" s="363">
        <f>SUM(R17:R19)</f>
        <v>0</v>
      </c>
      <c r="S21" s="363">
        <f>SUM(S17:S19)</f>
        <v>0</v>
      </c>
      <c r="T21" s="363">
        <f>SUM(T17:T19)</f>
        <v>0</v>
      </c>
      <c r="U21" s="364">
        <f>IF($T21=0,0,P21/$T21)</f>
        <v>0</v>
      </c>
      <c r="V21" s="365">
        <f>IF($T21=0,0,S21/$T21)</f>
        <v>0</v>
      </c>
    </row>
    <row r="22" spans="1:23">
      <c r="C22" s="44"/>
      <c r="D22" s="44"/>
      <c r="E22" s="44"/>
      <c r="F22" s="44"/>
      <c r="J22" s="44"/>
      <c r="K22" s="44"/>
      <c r="L22" s="44"/>
      <c r="M22" s="44"/>
      <c r="Q22" s="44"/>
      <c r="R22" s="44"/>
      <c r="S22" s="44"/>
      <c r="T22" s="44"/>
    </row>
    <row r="23" spans="1:23">
      <c r="B23" s="60" t="s">
        <v>471</v>
      </c>
      <c r="C23" s="60"/>
      <c r="D23" s="60"/>
      <c r="E23" s="60"/>
      <c r="F23" s="60"/>
      <c r="G23" s="60"/>
      <c r="H23" s="60"/>
      <c r="I23" s="60" t="s">
        <v>472</v>
      </c>
      <c r="J23" s="60"/>
      <c r="K23" s="60"/>
      <c r="L23" s="60"/>
      <c r="M23" s="60"/>
      <c r="N23" s="60"/>
      <c r="O23" s="60"/>
      <c r="P23" s="60" t="s">
        <v>473</v>
      </c>
    </row>
  </sheetData>
  <sheetProtection sheet="1" objects="1" scenarios="1"/>
  <conditionalFormatting sqref="C3:F3 C9:E9 C12:F13 C4:E4 F11">
    <cfRule type="expression" dxfId="350" priority="9">
      <formula>C3="Data Not Entered On Set-Up Worksheet"</formula>
    </cfRule>
  </conditionalFormatting>
  <conditionalFormatting sqref="B17:F19">
    <cfRule type="cellIs" dxfId="349" priority="8" operator="equal">
      <formula>""</formula>
    </cfRule>
  </conditionalFormatting>
  <conditionalFormatting sqref="C11:D11">
    <cfRule type="expression" dxfId="348" priority="7">
      <formula>C11="Data Not Entered On Set-Up Worksheet"</formula>
    </cfRule>
  </conditionalFormatting>
  <conditionalFormatting sqref="J3:M3 J9:L9 J12:M13 J4:L4 M11">
    <cfRule type="expression" dxfId="347" priority="6">
      <formula>J3="Data Not Entered On Set-Up Worksheet"</formula>
    </cfRule>
  </conditionalFormatting>
  <conditionalFormatting sqref="I17:M19">
    <cfRule type="cellIs" dxfId="346" priority="5" operator="equal">
      <formula>""</formula>
    </cfRule>
  </conditionalFormatting>
  <conditionalFormatting sqref="J11:K11">
    <cfRule type="expression" dxfId="345" priority="4">
      <formula>J11="Data Not Entered On Set-Up Worksheet"</formula>
    </cfRule>
  </conditionalFormatting>
  <conditionalFormatting sqref="Q3:T3 Q9:S9 Q12:T13 Q4:S4 T11">
    <cfRule type="expression" dxfId="344" priority="3">
      <formula>Q3="Data Not Entered On Set-Up Worksheet"</formula>
    </cfRule>
  </conditionalFormatting>
  <conditionalFormatting sqref="P17:T19">
    <cfRule type="cellIs" dxfId="343" priority="2" operator="equal">
      <formula>""</formula>
    </cfRule>
  </conditionalFormatting>
  <conditionalFormatting sqref="Q11:R11">
    <cfRule type="expression" dxfId="342" priority="1">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H4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6" width="18.7109375" style="22" customWidth="1"/>
    <col min="7" max="7" width="16.7109375" style="22" customWidth="1"/>
    <col min="8" max="13" width="18.7109375" style="22" customWidth="1"/>
    <col min="14" max="14" width="16.7109375" style="22" customWidth="1"/>
    <col min="15" max="20" width="18.7109375" style="22" customWidth="1"/>
    <col min="21" max="21" width="16.7109375" style="22" customWidth="1"/>
    <col min="22" max="22" width="18.7109375" style="22" customWidth="1"/>
    <col min="23" max="23" width="8.85546875" style="22" bestFit="1" customWidth="1"/>
    <col min="24" max="16384" width="9.140625" style="22"/>
  </cols>
  <sheetData>
    <row r="1" spans="1:34" ht="15" customHeight="1">
      <c r="A1" s="36" t="s">
        <v>28</v>
      </c>
      <c r="I1" s="30" t="s">
        <v>332</v>
      </c>
      <c r="P1" s="30" t="s">
        <v>332</v>
      </c>
    </row>
    <row r="2" spans="1:34" ht="15" customHeight="1">
      <c r="A2" s="36" t="s">
        <v>198</v>
      </c>
      <c r="I2" s="321" t="s">
        <v>333</v>
      </c>
      <c r="P2" s="321" t="s">
        <v>333</v>
      </c>
    </row>
    <row r="3" spans="1:34" ht="15" customHeight="1">
      <c r="A3" s="30" t="s">
        <v>196</v>
      </c>
      <c r="C3" s="147">
        <f>IF('Set-Up Worksheet'!F3="","Data Not Entered On Set-Up Worksheet",'Set-Up Worksheet'!F3)</f>
        <v>2017</v>
      </c>
      <c r="G3" s="147"/>
      <c r="J3" s="147">
        <f t="shared" ref="J3:J11" si="0">C3</f>
        <v>2017</v>
      </c>
      <c r="N3" s="147"/>
      <c r="Q3" s="147">
        <f t="shared" ref="Q3:Q11" si="1">C3</f>
        <v>2017</v>
      </c>
      <c r="U3" s="147"/>
    </row>
    <row r="4" spans="1:34" ht="15" customHeight="1">
      <c r="A4" s="30" t="s">
        <v>197</v>
      </c>
      <c r="C4" s="147" t="str">
        <f>IF('Set-Up Worksheet'!F4="","Data Not Entered On Set-Up Worksheet",'Set-Up Worksheet'!F4)</f>
        <v>1st Quarter</v>
      </c>
      <c r="G4" s="147"/>
      <c r="J4" s="147" t="str">
        <f t="shared" si="0"/>
        <v>1st Quarter</v>
      </c>
      <c r="N4" s="147"/>
      <c r="Q4" s="147" t="str">
        <f t="shared" si="1"/>
        <v>1st Quarter</v>
      </c>
      <c r="U4" s="147"/>
    </row>
    <row r="5" spans="1:34" ht="15" customHeight="1">
      <c r="A5" s="30"/>
      <c r="C5" s="32"/>
      <c r="G5" s="32"/>
      <c r="J5" s="39"/>
      <c r="N5" s="32"/>
      <c r="Q5" s="39"/>
      <c r="U5" s="32"/>
    </row>
    <row r="6" spans="1:34" ht="15" customHeight="1">
      <c r="A6" s="30" t="s">
        <v>312</v>
      </c>
      <c r="C6" s="32"/>
      <c r="G6" s="32"/>
      <c r="I6" s="30" t="s">
        <v>334</v>
      </c>
      <c r="J6" s="39"/>
      <c r="N6" s="32"/>
      <c r="P6" s="30" t="s">
        <v>334</v>
      </c>
      <c r="Q6" s="39"/>
      <c r="U6" s="32"/>
    </row>
    <row r="7" spans="1:34" ht="15" customHeight="1">
      <c r="A7" s="30" t="s">
        <v>430</v>
      </c>
      <c r="C7" s="32"/>
      <c r="G7" s="32"/>
      <c r="I7" s="30" t="s">
        <v>431</v>
      </c>
      <c r="J7" s="39"/>
      <c r="N7" s="32"/>
      <c r="P7" s="30" t="s">
        <v>431</v>
      </c>
      <c r="Q7" s="39"/>
      <c r="U7" s="32"/>
    </row>
    <row r="8" spans="1:34" ht="15" customHeight="1">
      <c r="A8" s="30"/>
      <c r="C8" s="32"/>
      <c r="G8" s="32"/>
      <c r="J8" s="39"/>
      <c r="N8" s="32"/>
      <c r="Q8" s="39"/>
      <c r="U8" s="32"/>
      <c r="Z8" s="54"/>
      <c r="AA8" s="54"/>
      <c r="AB8" s="55"/>
      <c r="AC8" s="54"/>
      <c r="AD8" s="54"/>
      <c r="AE8" s="54"/>
      <c r="AF8" s="54"/>
      <c r="AG8" s="30"/>
      <c r="AH8" s="35"/>
    </row>
    <row r="9" spans="1:34" ht="15" customHeight="1">
      <c r="A9" s="30" t="s">
        <v>29</v>
      </c>
      <c r="C9" s="39" t="str">
        <f>IF('Set-Up Worksheet'!E7="","Data Not Entered On Set-Up Worksheet",'Set-Up Worksheet'!E7)</f>
        <v>Data Not Entered On Set-Up Worksheet</v>
      </c>
      <c r="G9" s="39"/>
      <c r="J9" s="39" t="str">
        <f t="shared" si="0"/>
        <v>Data Not Entered On Set-Up Worksheet</v>
      </c>
      <c r="N9" s="39"/>
      <c r="Q9" s="39" t="str">
        <f t="shared" si="1"/>
        <v>Data Not Entered On Set-Up Worksheet</v>
      </c>
      <c r="U9" s="39"/>
    </row>
    <row r="10" spans="1:34" ht="15" customHeight="1">
      <c r="A10" s="30" t="s">
        <v>9</v>
      </c>
      <c r="C10" s="32" t="s">
        <v>10</v>
      </c>
      <c r="G10" s="32"/>
      <c r="J10" s="39" t="str">
        <f t="shared" si="0"/>
        <v>Behavioral Health</v>
      </c>
      <c r="N10" s="32"/>
      <c r="Q10" s="39" t="str">
        <f t="shared" si="1"/>
        <v>Behavioral Health</v>
      </c>
      <c r="U10" s="32"/>
    </row>
    <row r="11" spans="1:34" ht="15" customHeight="1">
      <c r="A11" s="30" t="s">
        <v>199</v>
      </c>
      <c r="C11" s="40" t="str">
        <f>IF(C4="Data Not Entered On Set-Up Worksheet","Data Not Entered On Set-Up Worksheet",IF(C4="1st Quarter",'Report Schedule'!D22,IF(C4="2nd Quarter",'Report Schedule'!E22,IF(C4="3rd Quarter",'Report Schedule'!F22,IF(C4="4th Quarter",'Report Schedule'!G22,"")))))</f>
        <v>Apr - Jun 2016</v>
      </c>
      <c r="E11" s="79" t="s">
        <v>40</v>
      </c>
      <c r="G11" s="40"/>
      <c r="J11" s="40" t="str">
        <f t="shared" si="0"/>
        <v>Apr - Jun 2016</v>
      </c>
      <c r="L11" s="79"/>
      <c r="N11" s="40"/>
      <c r="Q11" s="40" t="str">
        <f t="shared" si="1"/>
        <v>Apr - Jun 2016</v>
      </c>
      <c r="S11" s="79"/>
      <c r="U11" s="40"/>
    </row>
    <row r="12" spans="1:34" ht="15" customHeight="1">
      <c r="A12" s="30"/>
      <c r="F12" s="40"/>
      <c r="G12" s="40"/>
      <c r="M12" s="40"/>
      <c r="N12" s="40"/>
      <c r="T12" s="40"/>
      <c r="U12" s="40"/>
    </row>
    <row r="13" spans="1:34" ht="13.5" thickBot="1"/>
    <row r="14" spans="1:34" ht="18" customHeight="1" thickBot="1">
      <c r="A14" s="226" t="s">
        <v>330</v>
      </c>
      <c r="B14" s="382" t="s">
        <v>39</v>
      </c>
      <c r="C14" s="315"/>
      <c r="D14" s="315"/>
      <c r="E14" s="315"/>
      <c r="F14" s="235"/>
      <c r="G14" s="235"/>
      <c r="H14" s="236"/>
      <c r="I14" s="385" t="s">
        <v>244</v>
      </c>
      <c r="J14" s="82"/>
      <c r="K14" s="82"/>
      <c r="L14" s="82"/>
      <c r="M14" s="231"/>
      <c r="N14" s="231"/>
      <c r="O14" s="232"/>
      <c r="P14" s="382" t="s">
        <v>246</v>
      </c>
      <c r="Q14" s="315"/>
      <c r="R14" s="315"/>
      <c r="S14" s="315"/>
      <c r="T14" s="235"/>
      <c r="U14" s="235"/>
      <c r="V14" s="236"/>
    </row>
    <row r="15" spans="1:34" s="35" customFormat="1" ht="13.5" thickBot="1">
      <c r="A15" s="30"/>
      <c r="B15" s="45" t="s">
        <v>323</v>
      </c>
      <c r="C15" s="45"/>
      <c r="D15" s="45"/>
      <c r="E15" s="45" t="s">
        <v>324</v>
      </c>
      <c r="F15" s="57" t="s">
        <v>4</v>
      </c>
      <c r="G15" s="57" t="s">
        <v>325</v>
      </c>
      <c r="H15" s="58" t="s">
        <v>326</v>
      </c>
      <c r="I15" s="45" t="s">
        <v>323</v>
      </c>
      <c r="J15" s="45"/>
      <c r="K15" s="45"/>
      <c r="L15" s="45" t="s">
        <v>324</v>
      </c>
      <c r="M15" s="57" t="s">
        <v>4</v>
      </c>
      <c r="N15" s="57" t="s">
        <v>325</v>
      </c>
      <c r="O15" s="58" t="s">
        <v>326</v>
      </c>
      <c r="P15" s="45" t="s">
        <v>323</v>
      </c>
      <c r="Q15" s="45"/>
      <c r="R15" s="45"/>
      <c r="S15" s="45" t="s">
        <v>324</v>
      </c>
      <c r="T15" s="57" t="s">
        <v>4</v>
      </c>
      <c r="U15" s="57" t="s">
        <v>325</v>
      </c>
      <c r="V15" s="58" t="s">
        <v>326</v>
      </c>
      <c r="W15" s="33"/>
      <c r="X15" s="30"/>
      <c r="Y15" s="30"/>
      <c r="Z15" s="30"/>
      <c r="AA15" s="30"/>
      <c r="AB15" s="30"/>
    </row>
    <row r="16" spans="1:34" ht="63.75">
      <c r="A16" s="75" t="s">
        <v>43</v>
      </c>
      <c r="B16" s="242" t="s">
        <v>319</v>
      </c>
      <c r="C16" s="240" t="s">
        <v>313</v>
      </c>
      <c r="D16" s="240" t="s">
        <v>315</v>
      </c>
      <c r="E16" s="316" t="s">
        <v>320</v>
      </c>
      <c r="F16" s="240" t="s">
        <v>314</v>
      </c>
      <c r="G16" s="314" t="s">
        <v>327</v>
      </c>
      <c r="H16" s="241" t="s">
        <v>322</v>
      </c>
      <c r="I16" s="221" t="s">
        <v>319</v>
      </c>
      <c r="J16" s="67" t="s">
        <v>313</v>
      </c>
      <c r="K16" s="67" t="s">
        <v>315</v>
      </c>
      <c r="L16" s="83" t="s">
        <v>320</v>
      </c>
      <c r="M16" s="67" t="s">
        <v>314</v>
      </c>
      <c r="N16" s="320" t="s">
        <v>327</v>
      </c>
      <c r="O16" s="68" t="s">
        <v>322</v>
      </c>
      <c r="P16" s="242" t="s">
        <v>319</v>
      </c>
      <c r="Q16" s="240" t="s">
        <v>313</v>
      </c>
      <c r="R16" s="240" t="s">
        <v>315</v>
      </c>
      <c r="S16" s="316" t="s">
        <v>320</v>
      </c>
      <c r="T16" s="240" t="s">
        <v>314</v>
      </c>
      <c r="U16" s="314" t="s">
        <v>327</v>
      </c>
      <c r="V16" s="241" t="s">
        <v>322</v>
      </c>
    </row>
    <row r="17" spans="1:22" ht="18" customHeight="1">
      <c r="A17" s="76" t="str">
        <f>IF($C$9="Data Not Entered On Set-Up Worksheet","",IF(OR(VLOOKUP($C$9,County_Lookup,2,FALSE)="",VLOOKUP($C$9,County_Lookup,2,FALSE)=0),"",VLOOKUP($C$9,County_Lookup,2,FALSE)))</f>
        <v/>
      </c>
      <c r="B17" s="222"/>
      <c r="C17" s="224"/>
      <c r="D17" s="224"/>
      <c r="E17" s="222"/>
      <c r="F17" s="61"/>
      <c r="G17" s="318" t="str">
        <f t="shared" ref="G17:G41" si="2">IF($A17="","",IF($F17=0,0,B17/$F17))</f>
        <v/>
      </c>
      <c r="H17" s="70" t="str">
        <f>IF($A17="","",IF($F17=0,0,E17/$F17))</f>
        <v/>
      </c>
      <c r="I17" s="222"/>
      <c r="J17" s="224"/>
      <c r="K17" s="224"/>
      <c r="L17" s="222"/>
      <c r="M17" s="61"/>
      <c r="N17" s="318" t="str">
        <f t="shared" ref="N17:N41" si="3">IF($A17="","",IF($M17=0,0,I17/$M17))</f>
        <v/>
      </c>
      <c r="O17" s="70" t="str">
        <f t="shared" ref="O17:O41" si="4">IF($A17="","",IF($M17=0,0,L17/$M17))</f>
        <v/>
      </c>
      <c r="P17" s="222"/>
      <c r="Q17" s="224"/>
      <c r="R17" s="224"/>
      <c r="S17" s="222"/>
      <c r="T17" s="61"/>
      <c r="U17" s="318" t="str">
        <f t="shared" ref="U17:U41" si="5">IF($A17="","",IF($T17=0,0,P17/$T17))</f>
        <v/>
      </c>
      <c r="V17" s="70" t="str">
        <f t="shared" ref="V17:V41" si="6">IF($A17="","",IF($T17=0,0,S17/$T17))</f>
        <v/>
      </c>
    </row>
    <row r="18" spans="1:22" ht="18" customHeight="1">
      <c r="A18" s="77" t="str">
        <f>IF($C$9="Data Not Entered On Set-Up Worksheet","",IF(OR(VLOOKUP($C$9,County_Lookup,3,FALSE)="",VLOOKUP($C$9,County_Lookup,3,FALSE)=0),"",VLOOKUP($C$9,County_Lookup,3,FALSE)))</f>
        <v/>
      </c>
      <c r="B18" s="222"/>
      <c r="C18" s="224"/>
      <c r="D18" s="224"/>
      <c r="E18" s="222"/>
      <c r="F18" s="61"/>
      <c r="G18" s="318" t="str">
        <f t="shared" si="2"/>
        <v/>
      </c>
      <c r="H18" s="70" t="str">
        <f t="shared" ref="H18:H40" si="7">IF($A18="","",IF($F18=0,0,E18/$F18))</f>
        <v/>
      </c>
      <c r="I18" s="222"/>
      <c r="J18" s="224"/>
      <c r="K18" s="224"/>
      <c r="L18" s="222"/>
      <c r="M18" s="61"/>
      <c r="N18" s="318" t="str">
        <f t="shared" si="3"/>
        <v/>
      </c>
      <c r="O18" s="70" t="str">
        <f t="shared" si="4"/>
        <v/>
      </c>
      <c r="P18" s="222"/>
      <c r="Q18" s="224"/>
      <c r="R18" s="224"/>
      <c r="S18" s="222"/>
      <c r="T18" s="61"/>
      <c r="U18" s="318" t="str">
        <f t="shared" si="5"/>
        <v/>
      </c>
      <c r="V18" s="70" t="str">
        <f t="shared" si="6"/>
        <v/>
      </c>
    </row>
    <row r="19" spans="1:22" ht="18" customHeight="1">
      <c r="A19" s="77" t="str">
        <f>IF($C$9="Data Not Entered On Set-Up Worksheet","",IF(OR(VLOOKUP($C$9,County_Lookup,4,FALSE)="",VLOOKUP($C$9,County_Lookup,4,FALSE)=0),"",VLOOKUP($C$9,County_Lookup,4,FALSE)))</f>
        <v/>
      </c>
      <c r="B19" s="222"/>
      <c r="C19" s="224"/>
      <c r="D19" s="224"/>
      <c r="E19" s="222"/>
      <c r="F19" s="61"/>
      <c r="G19" s="318" t="str">
        <f t="shared" si="2"/>
        <v/>
      </c>
      <c r="H19" s="70" t="str">
        <f t="shared" si="7"/>
        <v/>
      </c>
      <c r="I19" s="222"/>
      <c r="J19" s="224"/>
      <c r="K19" s="224"/>
      <c r="L19" s="222"/>
      <c r="M19" s="61"/>
      <c r="N19" s="318" t="str">
        <f t="shared" si="3"/>
        <v/>
      </c>
      <c r="O19" s="70" t="str">
        <f t="shared" si="4"/>
        <v/>
      </c>
      <c r="P19" s="222"/>
      <c r="Q19" s="224"/>
      <c r="R19" s="224"/>
      <c r="S19" s="222"/>
      <c r="T19" s="61"/>
      <c r="U19" s="318" t="str">
        <f t="shared" si="5"/>
        <v/>
      </c>
      <c r="V19" s="70" t="str">
        <f t="shared" si="6"/>
        <v/>
      </c>
    </row>
    <row r="20" spans="1:22" ht="18" customHeight="1">
      <c r="A20" s="77" t="str">
        <f>IF($C$9="Data Not Entered On Set-Up Worksheet","",IF(OR(VLOOKUP($C$9,County_Lookup,5,FALSE)="",VLOOKUP($C$9,County_Lookup,5,FALSE)=0),"",VLOOKUP($C$9,County_Lookup,5,FALSE)))</f>
        <v/>
      </c>
      <c r="B20" s="222"/>
      <c r="C20" s="224"/>
      <c r="D20" s="224"/>
      <c r="E20" s="222"/>
      <c r="F20" s="61"/>
      <c r="G20" s="318" t="str">
        <f t="shared" si="2"/>
        <v/>
      </c>
      <c r="H20" s="70" t="str">
        <f t="shared" si="7"/>
        <v/>
      </c>
      <c r="I20" s="222"/>
      <c r="J20" s="224"/>
      <c r="K20" s="224"/>
      <c r="L20" s="222"/>
      <c r="M20" s="61"/>
      <c r="N20" s="318" t="str">
        <f t="shared" si="3"/>
        <v/>
      </c>
      <c r="O20" s="70" t="str">
        <f t="shared" si="4"/>
        <v/>
      </c>
      <c r="P20" s="222"/>
      <c r="Q20" s="224"/>
      <c r="R20" s="224"/>
      <c r="S20" s="222"/>
      <c r="T20" s="61"/>
      <c r="U20" s="318" t="str">
        <f t="shared" si="5"/>
        <v/>
      </c>
      <c r="V20" s="70" t="str">
        <f t="shared" si="6"/>
        <v/>
      </c>
    </row>
    <row r="21" spans="1:22" ht="18" customHeight="1">
      <c r="A21" s="77" t="str">
        <f>IF($C$9="Data Not Entered On Set-Up Worksheet","",IF(OR(VLOOKUP($C$9,County_Lookup,6,FALSE)="",VLOOKUP($C$9,County_Lookup,6,FALSE)=0),"",VLOOKUP($C$9,County_Lookup,6,FALSE)))</f>
        <v/>
      </c>
      <c r="B21" s="222"/>
      <c r="C21" s="224"/>
      <c r="D21" s="224"/>
      <c r="E21" s="222"/>
      <c r="F21" s="61"/>
      <c r="G21" s="318" t="str">
        <f t="shared" si="2"/>
        <v/>
      </c>
      <c r="H21" s="70" t="str">
        <f t="shared" si="7"/>
        <v/>
      </c>
      <c r="I21" s="222"/>
      <c r="J21" s="224"/>
      <c r="K21" s="224"/>
      <c r="L21" s="222"/>
      <c r="M21" s="61"/>
      <c r="N21" s="318" t="str">
        <f t="shared" si="3"/>
        <v/>
      </c>
      <c r="O21" s="70" t="str">
        <f t="shared" si="4"/>
        <v/>
      </c>
      <c r="P21" s="222"/>
      <c r="Q21" s="224"/>
      <c r="R21" s="224"/>
      <c r="S21" s="222"/>
      <c r="T21" s="61"/>
      <c r="U21" s="318" t="str">
        <f t="shared" si="5"/>
        <v/>
      </c>
      <c r="V21" s="70" t="str">
        <f t="shared" si="6"/>
        <v/>
      </c>
    </row>
    <row r="22" spans="1:22" ht="18" customHeight="1">
      <c r="A22" s="77" t="str">
        <f>IF($C$9="Data Not Entered On Set-Up Worksheet","",IF(OR(VLOOKUP($C$9,County_Lookup,7,FALSE)="",VLOOKUP($C$9,County_Lookup,7,FALSE)=0),"",VLOOKUP($C$9,County_Lookup,7,FALSE)))</f>
        <v/>
      </c>
      <c r="B22" s="222"/>
      <c r="C22" s="224"/>
      <c r="D22" s="224"/>
      <c r="E22" s="222"/>
      <c r="F22" s="61"/>
      <c r="G22" s="318" t="str">
        <f t="shared" si="2"/>
        <v/>
      </c>
      <c r="H22" s="70" t="str">
        <f t="shared" si="7"/>
        <v/>
      </c>
      <c r="I22" s="222"/>
      <c r="J22" s="224"/>
      <c r="K22" s="224"/>
      <c r="L22" s="222"/>
      <c r="M22" s="61"/>
      <c r="N22" s="318" t="str">
        <f t="shared" si="3"/>
        <v/>
      </c>
      <c r="O22" s="70" t="str">
        <f t="shared" si="4"/>
        <v/>
      </c>
      <c r="P22" s="222"/>
      <c r="Q22" s="224"/>
      <c r="R22" s="224"/>
      <c r="S22" s="222"/>
      <c r="T22" s="61"/>
      <c r="U22" s="318" t="str">
        <f t="shared" si="5"/>
        <v/>
      </c>
      <c r="V22" s="70" t="str">
        <f t="shared" si="6"/>
        <v/>
      </c>
    </row>
    <row r="23" spans="1:22" ht="18" customHeight="1">
      <c r="A23" s="76" t="str">
        <f>IF($C$9="Data Not Entered On Set-Up Worksheet","",IF(OR(VLOOKUP($C$9,County_Lookup,8,FALSE)="",VLOOKUP($C$9,County_Lookup,8,FALSE)=0),"",VLOOKUP($C$9,County_Lookup,8,FALSE)))</f>
        <v/>
      </c>
      <c r="B23" s="222"/>
      <c r="C23" s="224"/>
      <c r="D23" s="224"/>
      <c r="E23" s="222"/>
      <c r="F23" s="61"/>
      <c r="G23" s="318" t="str">
        <f t="shared" si="2"/>
        <v/>
      </c>
      <c r="H23" s="70" t="str">
        <f t="shared" si="7"/>
        <v/>
      </c>
      <c r="I23" s="222"/>
      <c r="J23" s="224"/>
      <c r="K23" s="224"/>
      <c r="L23" s="222"/>
      <c r="M23" s="61"/>
      <c r="N23" s="318" t="str">
        <f t="shared" si="3"/>
        <v/>
      </c>
      <c r="O23" s="70" t="str">
        <f t="shared" si="4"/>
        <v/>
      </c>
      <c r="P23" s="222"/>
      <c r="Q23" s="224"/>
      <c r="R23" s="224"/>
      <c r="S23" s="222"/>
      <c r="T23" s="61"/>
      <c r="U23" s="318" t="str">
        <f t="shared" si="5"/>
        <v/>
      </c>
      <c r="V23" s="70" t="str">
        <f t="shared" si="6"/>
        <v/>
      </c>
    </row>
    <row r="24" spans="1:22" ht="18" customHeight="1">
      <c r="A24" s="77" t="str">
        <f>IF($C$9="Data Not Entered On Set-Up Worksheet","",IF(OR(VLOOKUP($C$9,County_Lookup,9,FALSE)="",VLOOKUP($C$9,County_Lookup,9,FALSE)=0),"",VLOOKUP($C$9,County_Lookup,9,FALSE)))</f>
        <v/>
      </c>
      <c r="B24" s="222"/>
      <c r="C24" s="224"/>
      <c r="D24" s="224"/>
      <c r="E24" s="222"/>
      <c r="F24" s="61"/>
      <c r="G24" s="318" t="str">
        <f t="shared" si="2"/>
        <v/>
      </c>
      <c r="H24" s="70" t="str">
        <f t="shared" si="7"/>
        <v/>
      </c>
      <c r="I24" s="222"/>
      <c r="J24" s="224"/>
      <c r="K24" s="224"/>
      <c r="L24" s="222"/>
      <c r="M24" s="61"/>
      <c r="N24" s="318" t="str">
        <f t="shared" si="3"/>
        <v/>
      </c>
      <c r="O24" s="70" t="str">
        <f t="shared" si="4"/>
        <v/>
      </c>
      <c r="P24" s="222"/>
      <c r="Q24" s="224"/>
      <c r="R24" s="224"/>
      <c r="S24" s="222"/>
      <c r="T24" s="61"/>
      <c r="U24" s="318" t="str">
        <f t="shared" si="5"/>
        <v/>
      </c>
      <c r="V24" s="70" t="str">
        <f t="shared" si="6"/>
        <v/>
      </c>
    </row>
    <row r="25" spans="1:22" ht="18" customHeight="1">
      <c r="A25" s="77" t="str">
        <f>IF($C$9="Data Not Entered On Set-Up Worksheet","",IF(OR(VLOOKUP($C$9,County_Lookup,10,FALSE)="",VLOOKUP($C$9,County_Lookup,10,FALSE)=0),"",VLOOKUP($C$9,County_Lookup,10,FALSE)))</f>
        <v/>
      </c>
      <c r="B25" s="222"/>
      <c r="C25" s="224"/>
      <c r="D25" s="224"/>
      <c r="E25" s="222"/>
      <c r="F25" s="61"/>
      <c r="G25" s="318" t="str">
        <f t="shared" si="2"/>
        <v/>
      </c>
      <c r="H25" s="70" t="str">
        <f t="shared" si="7"/>
        <v/>
      </c>
      <c r="I25" s="222"/>
      <c r="J25" s="224"/>
      <c r="K25" s="224"/>
      <c r="L25" s="222"/>
      <c r="M25" s="61"/>
      <c r="N25" s="318" t="str">
        <f t="shared" si="3"/>
        <v/>
      </c>
      <c r="O25" s="70" t="str">
        <f t="shared" si="4"/>
        <v/>
      </c>
      <c r="P25" s="222"/>
      <c r="Q25" s="224"/>
      <c r="R25" s="224"/>
      <c r="S25" s="222"/>
      <c r="T25" s="61"/>
      <c r="U25" s="318" t="str">
        <f t="shared" si="5"/>
        <v/>
      </c>
      <c r="V25" s="70" t="str">
        <f t="shared" si="6"/>
        <v/>
      </c>
    </row>
    <row r="26" spans="1:22" ht="18" customHeight="1">
      <c r="A26" s="77" t="str">
        <f>IF($C$9="Data Not Entered On Set-Up Worksheet","",IF(OR(VLOOKUP($C$9,County_Lookup,11,FALSE)="",VLOOKUP($C$9,County_Lookup,11,FALSE)=0),"",VLOOKUP($C$9,County_Lookup,11,FALSE)))</f>
        <v/>
      </c>
      <c r="B26" s="222"/>
      <c r="C26" s="224"/>
      <c r="D26" s="224"/>
      <c r="E26" s="222"/>
      <c r="F26" s="61"/>
      <c r="G26" s="318" t="str">
        <f t="shared" si="2"/>
        <v/>
      </c>
      <c r="H26" s="70" t="str">
        <f t="shared" si="7"/>
        <v/>
      </c>
      <c r="I26" s="222"/>
      <c r="J26" s="224"/>
      <c r="K26" s="224"/>
      <c r="L26" s="222"/>
      <c r="M26" s="61"/>
      <c r="N26" s="318" t="str">
        <f t="shared" si="3"/>
        <v/>
      </c>
      <c r="O26" s="70" t="str">
        <f t="shared" si="4"/>
        <v/>
      </c>
      <c r="P26" s="222"/>
      <c r="Q26" s="224"/>
      <c r="R26" s="224"/>
      <c r="S26" s="222"/>
      <c r="T26" s="61"/>
      <c r="U26" s="318" t="str">
        <f t="shared" si="5"/>
        <v/>
      </c>
      <c r="V26" s="70" t="str">
        <f t="shared" si="6"/>
        <v/>
      </c>
    </row>
    <row r="27" spans="1:22" ht="18" customHeight="1">
      <c r="A27" s="77" t="str">
        <f>IF($C$9="Data Not Entered On Set-Up Worksheet","",IF(OR(VLOOKUP($C$9,County_Lookup,12,FALSE)="",VLOOKUP($C$9,County_Lookup,12,FALSE)=0),"",VLOOKUP($C$9,County_Lookup,12,FALSE)))</f>
        <v/>
      </c>
      <c r="B27" s="222"/>
      <c r="C27" s="224"/>
      <c r="D27" s="224"/>
      <c r="E27" s="222"/>
      <c r="F27" s="61"/>
      <c r="G27" s="318" t="str">
        <f t="shared" si="2"/>
        <v/>
      </c>
      <c r="H27" s="70" t="str">
        <f t="shared" si="7"/>
        <v/>
      </c>
      <c r="I27" s="222"/>
      <c r="J27" s="224"/>
      <c r="K27" s="224"/>
      <c r="L27" s="222"/>
      <c r="M27" s="61"/>
      <c r="N27" s="318" t="str">
        <f t="shared" si="3"/>
        <v/>
      </c>
      <c r="O27" s="70" t="str">
        <f t="shared" si="4"/>
        <v/>
      </c>
      <c r="P27" s="222"/>
      <c r="Q27" s="224"/>
      <c r="R27" s="224"/>
      <c r="S27" s="222"/>
      <c r="T27" s="61"/>
      <c r="U27" s="318" t="str">
        <f t="shared" si="5"/>
        <v/>
      </c>
      <c r="V27" s="70" t="str">
        <f t="shared" si="6"/>
        <v/>
      </c>
    </row>
    <row r="28" spans="1:22" ht="18" customHeight="1">
      <c r="A28" s="77" t="str">
        <f>IF($C$9="Data Not Entered On Set-Up Worksheet","",IF(OR(VLOOKUP($C$9,County_Lookup,13,FALSE)="",VLOOKUP($C$9,County_Lookup,13,FALSE)=0),"",VLOOKUP($C$9,County_Lookup,13,FALSE)))</f>
        <v/>
      </c>
      <c r="B28" s="222"/>
      <c r="C28" s="224"/>
      <c r="D28" s="224"/>
      <c r="E28" s="222"/>
      <c r="F28" s="61"/>
      <c r="G28" s="318" t="str">
        <f t="shared" si="2"/>
        <v/>
      </c>
      <c r="H28" s="70" t="str">
        <f t="shared" si="7"/>
        <v/>
      </c>
      <c r="I28" s="222"/>
      <c r="J28" s="224"/>
      <c r="K28" s="224"/>
      <c r="L28" s="222"/>
      <c r="M28" s="61"/>
      <c r="N28" s="318" t="str">
        <f t="shared" si="3"/>
        <v/>
      </c>
      <c r="O28" s="70" t="str">
        <f t="shared" si="4"/>
        <v/>
      </c>
      <c r="P28" s="222"/>
      <c r="Q28" s="224"/>
      <c r="R28" s="224"/>
      <c r="S28" s="222"/>
      <c r="T28" s="61"/>
      <c r="U28" s="318" t="str">
        <f t="shared" si="5"/>
        <v/>
      </c>
      <c r="V28" s="70" t="str">
        <f t="shared" si="6"/>
        <v/>
      </c>
    </row>
    <row r="29" spans="1:22" ht="18" customHeight="1">
      <c r="A29" s="77" t="str">
        <f>IF($C$9="Data Not Entered On Set-Up Worksheet","",IF(OR(VLOOKUP($C$9,County_Lookup,14,FALSE)="",VLOOKUP($C$9,County_Lookup,14,FALSE)=0),"",VLOOKUP($C$9,County_Lookup,14,FALSE)))</f>
        <v/>
      </c>
      <c r="B29" s="222"/>
      <c r="C29" s="224"/>
      <c r="D29" s="224"/>
      <c r="E29" s="222"/>
      <c r="F29" s="61"/>
      <c r="G29" s="318" t="str">
        <f t="shared" si="2"/>
        <v/>
      </c>
      <c r="H29" s="70" t="str">
        <f t="shared" si="7"/>
        <v/>
      </c>
      <c r="I29" s="222"/>
      <c r="J29" s="224"/>
      <c r="K29" s="224"/>
      <c r="L29" s="222"/>
      <c r="M29" s="61"/>
      <c r="N29" s="318" t="str">
        <f t="shared" si="3"/>
        <v/>
      </c>
      <c r="O29" s="70" t="str">
        <f t="shared" si="4"/>
        <v/>
      </c>
      <c r="P29" s="222"/>
      <c r="Q29" s="224"/>
      <c r="R29" s="224"/>
      <c r="S29" s="222"/>
      <c r="T29" s="61"/>
      <c r="U29" s="318" t="str">
        <f t="shared" si="5"/>
        <v/>
      </c>
      <c r="V29" s="70" t="str">
        <f t="shared" si="6"/>
        <v/>
      </c>
    </row>
    <row r="30" spans="1:22" ht="18" customHeight="1">
      <c r="A30" s="76" t="str">
        <f>IF($C$9="Data Not Entered On Set-Up Worksheet","",IF(OR(VLOOKUP($C$9,County_Lookup,15,FALSE)="",VLOOKUP($C$9,County_Lookup,15,FALSE)=0),"",VLOOKUP($C$9,County_Lookup,15,FALSE)))</f>
        <v/>
      </c>
      <c r="B30" s="222"/>
      <c r="C30" s="224"/>
      <c r="D30" s="224"/>
      <c r="E30" s="222"/>
      <c r="F30" s="61"/>
      <c r="G30" s="318" t="str">
        <f t="shared" si="2"/>
        <v/>
      </c>
      <c r="H30" s="70" t="str">
        <f t="shared" si="7"/>
        <v/>
      </c>
      <c r="I30" s="222"/>
      <c r="J30" s="224"/>
      <c r="K30" s="224"/>
      <c r="L30" s="222"/>
      <c r="M30" s="61"/>
      <c r="N30" s="318" t="str">
        <f t="shared" si="3"/>
        <v/>
      </c>
      <c r="O30" s="70" t="str">
        <f t="shared" si="4"/>
        <v/>
      </c>
      <c r="P30" s="222"/>
      <c r="Q30" s="224"/>
      <c r="R30" s="224"/>
      <c r="S30" s="222"/>
      <c r="T30" s="61"/>
      <c r="U30" s="318" t="str">
        <f t="shared" si="5"/>
        <v/>
      </c>
      <c r="V30" s="70" t="str">
        <f t="shared" si="6"/>
        <v/>
      </c>
    </row>
    <row r="31" spans="1:22" ht="18" customHeight="1">
      <c r="A31" s="77" t="str">
        <f>IF($C$9="Data Not Entered On Set-Up Worksheet","",IF(OR(VLOOKUP($C$9,County_Lookup,16,FALSE)="",VLOOKUP($C$9,County_Lookup,16,FALSE)=0),"",VLOOKUP($C$9,County_Lookup,16,FALSE)))</f>
        <v/>
      </c>
      <c r="B31" s="222"/>
      <c r="C31" s="224"/>
      <c r="D31" s="224"/>
      <c r="E31" s="222"/>
      <c r="F31" s="61"/>
      <c r="G31" s="318" t="str">
        <f t="shared" si="2"/>
        <v/>
      </c>
      <c r="H31" s="70" t="str">
        <f t="shared" si="7"/>
        <v/>
      </c>
      <c r="I31" s="222"/>
      <c r="J31" s="224"/>
      <c r="K31" s="224"/>
      <c r="L31" s="222"/>
      <c r="M31" s="61"/>
      <c r="N31" s="318" t="str">
        <f t="shared" si="3"/>
        <v/>
      </c>
      <c r="O31" s="70" t="str">
        <f t="shared" si="4"/>
        <v/>
      </c>
      <c r="P31" s="222"/>
      <c r="Q31" s="224"/>
      <c r="R31" s="224"/>
      <c r="S31" s="222"/>
      <c r="T31" s="61"/>
      <c r="U31" s="318" t="str">
        <f t="shared" si="5"/>
        <v/>
      </c>
      <c r="V31" s="70" t="str">
        <f t="shared" si="6"/>
        <v/>
      </c>
    </row>
    <row r="32" spans="1:22" ht="18" customHeight="1">
      <c r="A32" s="77" t="str">
        <f>IF($C$9="Data Not Entered On Set-Up Worksheet","",IF(OR(VLOOKUP($C$9,County_Lookup,17,FALSE)="",VLOOKUP($C$9,County_Lookup,17,FALSE)=0),"",VLOOKUP($C$9,County_Lookup,17,FALSE)))</f>
        <v/>
      </c>
      <c r="B32" s="222"/>
      <c r="C32" s="224"/>
      <c r="D32" s="224"/>
      <c r="E32" s="222"/>
      <c r="F32" s="61"/>
      <c r="G32" s="318" t="str">
        <f t="shared" si="2"/>
        <v/>
      </c>
      <c r="H32" s="70" t="str">
        <f t="shared" si="7"/>
        <v/>
      </c>
      <c r="I32" s="222"/>
      <c r="J32" s="224"/>
      <c r="K32" s="224"/>
      <c r="L32" s="222"/>
      <c r="M32" s="61"/>
      <c r="N32" s="318" t="str">
        <f t="shared" si="3"/>
        <v/>
      </c>
      <c r="O32" s="70" t="str">
        <f t="shared" si="4"/>
        <v/>
      </c>
      <c r="P32" s="222"/>
      <c r="Q32" s="224"/>
      <c r="R32" s="224"/>
      <c r="S32" s="222"/>
      <c r="T32" s="61"/>
      <c r="U32" s="318" t="str">
        <f t="shared" si="5"/>
        <v/>
      </c>
      <c r="V32" s="70" t="str">
        <f t="shared" si="6"/>
        <v/>
      </c>
    </row>
    <row r="33" spans="1:22" ht="18" customHeight="1">
      <c r="A33" s="77" t="str">
        <f>IF($C$9="Data Not Entered On Set-Up Worksheet","",IF(OR(VLOOKUP($C$9,County_Lookup,18,FALSE)="",VLOOKUP($C$9,County_Lookup,18,FALSE)=0),"",VLOOKUP($C$9,County_Lookup,18,FALSE)))</f>
        <v/>
      </c>
      <c r="B33" s="222"/>
      <c r="C33" s="224"/>
      <c r="D33" s="224"/>
      <c r="E33" s="222"/>
      <c r="F33" s="61"/>
      <c r="G33" s="318" t="str">
        <f t="shared" si="2"/>
        <v/>
      </c>
      <c r="H33" s="70" t="str">
        <f t="shared" si="7"/>
        <v/>
      </c>
      <c r="I33" s="222"/>
      <c r="J33" s="224"/>
      <c r="K33" s="224"/>
      <c r="L33" s="222"/>
      <c r="M33" s="61"/>
      <c r="N33" s="318" t="str">
        <f t="shared" si="3"/>
        <v/>
      </c>
      <c r="O33" s="70" t="str">
        <f t="shared" si="4"/>
        <v/>
      </c>
      <c r="P33" s="222"/>
      <c r="Q33" s="224"/>
      <c r="R33" s="224"/>
      <c r="S33" s="222"/>
      <c r="T33" s="61"/>
      <c r="U33" s="318" t="str">
        <f t="shared" si="5"/>
        <v/>
      </c>
      <c r="V33" s="70" t="str">
        <f t="shared" si="6"/>
        <v/>
      </c>
    </row>
    <row r="34" spans="1:22" ht="18" customHeight="1">
      <c r="A34" s="77" t="str">
        <f>IF($C$9="Data Not Entered On Set-Up Worksheet","",IF(OR(VLOOKUP($C$9,County_Lookup,19,FALSE)="",VLOOKUP($C$9,County_Lookup,19,FALSE)=0),"",VLOOKUP($C$9,County_Lookup,19,FALSE)))</f>
        <v/>
      </c>
      <c r="B34" s="222"/>
      <c r="C34" s="224"/>
      <c r="D34" s="224"/>
      <c r="E34" s="222"/>
      <c r="F34" s="61"/>
      <c r="G34" s="318" t="str">
        <f t="shared" si="2"/>
        <v/>
      </c>
      <c r="H34" s="70" t="str">
        <f t="shared" si="7"/>
        <v/>
      </c>
      <c r="I34" s="222"/>
      <c r="J34" s="224"/>
      <c r="K34" s="224"/>
      <c r="L34" s="222"/>
      <c r="M34" s="61"/>
      <c r="N34" s="318" t="str">
        <f t="shared" si="3"/>
        <v/>
      </c>
      <c r="O34" s="70" t="str">
        <f t="shared" si="4"/>
        <v/>
      </c>
      <c r="P34" s="222"/>
      <c r="Q34" s="224"/>
      <c r="R34" s="224"/>
      <c r="S34" s="222"/>
      <c r="T34" s="61"/>
      <c r="U34" s="318" t="str">
        <f t="shared" si="5"/>
        <v/>
      </c>
      <c r="V34" s="70" t="str">
        <f t="shared" si="6"/>
        <v/>
      </c>
    </row>
    <row r="35" spans="1:22" ht="18" customHeight="1">
      <c r="A35" s="77" t="str">
        <f>IF($C$9="Data Not Entered On Set-Up Worksheet","",IF(OR(VLOOKUP($C$9,County_Lookup,20,FALSE)="",VLOOKUP($C$9,County_Lookup,20,FALSE)=0),"",VLOOKUP($C$9,County_Lookup,20,FALSE)))</f>
        <v/>
      </c>
      <c r="B35" s="222"/>
      <c r="C35" s="224"/>
      <c r="D35" s="224"/>
      <c r="E35" s="222"/>
      <c r="F35" s="61"/>
      <c r="G35" s="318" t="str">
        <f t="shared" si="2"/>
        <v/>
      </c>
      <c r="H35" s="70" t="str">
        <f t="shared" si="7"/>
        <v/>
      </c>
      <c r="I35" s="222"/>
      <c r="J35" s="224"/>
      <c r="K35" s="224"/>
      <c r="L35" s="222"/>
      <c r="M35" s="61"/>
      <c r="N35" s="318" t="str">
        <f t="shared" si="3"/>
        <v/>
      </c>
      <c r="O35" s="70" t="str">
        <f t="shared" si="4"/>
        <v/>
      </c>
      <c r="P35" s="222"/>
      <c r="Q35" s="224"/>
      <c r="R35" s="224"/>
      <c r="S35" s="222"/>
      <c r="T35" s="61"/>
      <c r="U35" s="318" t="str">
        <f t="shared" si="5"/>
        <v/>
      </c>
      <c r="V35" s="70" t="str">
        <f t="shared" si="6"/>
        <v/>
      </c>
    </row>
    <row r="36" spans="1:22" ht="18" customHeight="1">
      <c r="A36" s="77" t="str">
        <f>IF($C$9="Data Not Entered On Set-Up Worksheet","",IF(OR(VLOOKUP($C$9,County_Lookup,21,FALSE)="",VLOOKUP($C$9,County_Lookup,21,FALSE)=0),"",VLOOKUP($C$9,County_Lookup,21,FALSE)))</f>
        <v/>
      </c>
      <c r="B36" s="222"/>
      <c r="C36" s="224"/>
      <c r="D36" s="224"/>
      <c r="E36" s="222"/>
      <c r="F36" s="61"/>
      <c r="G36" s="318" t="str">
        <f t="shared" si="2"/>
        <v/>
      </c>
      <c r="H36" s="70" t="str">
        <f t="shared" si="7"/>
        <v/>
      </c>
      <c r="I36" s="222"/>
      <c r="J36" s="224"/>
      <c r="K36" s="224"/>
      <c r="L36" s="222"/>
      <c r="M36" s="61"/>
      <c r="N36" s="318" t="str">
        <f t="shared" si="3"/>
        <v/>
      </c>
      <c r="O36" s="70" t="str">
        <f t="shared" si="4"/>
        <v/>
      </c>
      <c r="P36" s="222"/>
      <c r="Q36" s="224"/>
      <c r="R36" s="224"/>
      <c r="S36" s="222"/>
      <c r="T36" s="61"/>
      <c r="U36" s="318" t="str">
        <f t="shared" si="5"/>
        <v/>
      </c>
      <c r="V36" s="70" t="str">
        <f t="shared" si="6"/>
        <v/>
      </c>
    </row>
    <row r="37" spans="1:22" ht="18" customHeight="1">
      <c r="A37" s="76" t="str">
        <f>IF($C$9="Data Not Entered On Set-Up Worksheet","",IF(OR(VLOOKUP($C$9,County_Lookup,22,FALSE)="",VLOOKUP($C$9,County_Lookup,22,FALSE)=0),"",VLOOKUP($C$9,County_Lookup,22,FALSE)))</f>
        <v/>
      </c>
      <c r="B37" s="222"/>
      <c r="C37" s="224"/>
      <c r="D37" s="224"/>
      <c r="E37" s="222"/>
      <c r="F37" s="61"/>
      <c r="G37" s="318" t="str">
        <f t="shared" si="2"/>
        <v/>
      </c>
      <c r="H37" s="70" t="str">
        <f t="shared" si="7"/>
        <v/>
      </c>
      <c r="I37" s="222"/>
      <c r="J37" s="224"/>
      <c r="K37" s="224"/>
      <c r="L37" s="222"/>
      <c r="M37" s="61"/>
      <c r="N37" s="318" t="str">
        <f t="shared" si="3"/>
        <v/>
      </c>
      <c r="O37" s="70" t="str">
        <f t="shared" si="4"/>
        <v/>
      </c>
      <c r="P37" s="222"/>
      <c r="Q37" s="224"/>
      <c r="R37" s="224"/>
      <c r="S37" s="222"/>
      <c r="T37" s="61"/>
      <c r="U37" s="318" t="str">
        <f t="shared" si="5"/>
        <v/>
      </c>
      <c r="V37" s="70" t="str">
        <f t="shared" si="6"/>
        <v/>
      </c>
    </row>
    <row r="38" spans="1:22" ht="18" customHeight="1">
      <c r="A38" s="77" t="str">
        <f>IF($C$9="Data Not Entered On Set-Up Worksheet","",IF(OR(VLOOKUP($C$9,County_Lookup,23,FALSE)="",VLOOKUP($C$9,County_Lookup,23,FALSE)=0),"",VLOOKUP($C$9,County_Lookup,23,FALSE)))</f>
        <v/>
      </c>
      <c r="B38" s="222"/>
      <c r="C38" s="224"/>
      <c r="D38" s="224"/>
      <c r="E38" s="222"/>
      <c r="F38" s="61"/>
      <c r="G38" s="318" t="str">
        <f t="shared" si="2"/>
        <v/>
      </c>
      <c r="H38" s="70" t="str">
        <f t="shared" si="7"/>
        <v/>
      </c>
      <c r="I38" s="222"/>
      <c r="J38" s="224"/>
      <c r="K38" s="224"/>
      <c r="L38" s="222"/>
      <c r="M38" s="61"/>
      <c r="N38" s="318" t="str">
        <f t="shared" si="3"/>
        <v/>
      </c>
      <c r="O38" s="70" t="str">
        <f t="shared" si="4"/>
        <v/>
      </c>
      <c r="P38" s="222"/>
      <c r="Q38" s="224"/>
      <c r="R38" s="224"/>
      <c r="S38" s="222"/>
      <c r="T38" s="61"/>
      <c r="U38" s="318" t="str">
        <f t="shared" si="5"/>
        <v/>
      </c>
      <c r="V38" s="70" t="str">
        <f t="shared" si="6"/>
        <v/>
      </c>
    </row>
    <row r="39" spans="1:22" ht="18" customHeight="1">
      <c r="A39" s="77" t="str">
        <f>IF($C$9="Data Not Entered On Set-Up Worksheet","",IF(OR(VLOOKUP($C$9,County_Lookup,24,FALSE)="",VLOOKUP($C$9,County_Lookup,24,FALSE)=0),"",VLOOKUP($C$9,County_Lookup,24,FALSE)))</f>
        <v/>
      </c>
      <c r="B39" s="222"/>
      <c r="C39" s="224"/>
      <c r="D39" s="224"/>
      <c r="E39" s="222"/>
      <c r="F39" s="61"/>
      <c r="G39" s="318" t="str">
        <f t="shared" ref="G39" si="8">IF($A39="","",IF($F39=0,0,B39/$F39))</f>
        <v/>
      </c>
      <c r="H39" s="70" t="str">
        <f t="shared" ref="H39" si="9">IF($A39="","",IF($F39=0,0,E39/$F39))</f>
        <v/>
      </c>
      <c r="I39" s="222"/>
      <c r="J39" s="224"/>
      <c r="K39" s="224"/>
      <c r="L39" s="222"/>
      <c r="M39" s="61"/>
      <c r="N39" s="318" t="str">
        <f t="shared" ref="N39" si="10">IF($A39="","",IF($M39=0,0,I39/$M39))</f>
        <v/>
      </c>
      <c r="O39" s="70" t="str">
        <f t="shared" ref="O39" si="11">IF($A39="","",IF($M39=0,0,L39/$M39))</f>
        <v/>
      </c>
      <c r="P39" s="222"/>
      <c r="Q39" s="224"/>
      <c r="R39" s="224"/>
      <c r="S39" s="222"/>
      <c r="T39" s="61"/>
      <c r="U39" s="318" t="str">
        <f t="shared" ref="U39" si="12">IF($A39="","",IF($T39=0,0,P39/$T39))</f>
        <v/>
      </c>
      <c r="V39" s="70" t="str">
        <f t="shared" ref="V39" si="13">IF($A39="","",IF($T39=0,0,S39/$T39))</f>
        <v/>
      </c>
    </row>
    <row r="40" spans="1:22" ht="18" customHeight="1">
      <c r="A40" s="77" t="str">
        <f>IF($C$9="Data Not Entered On Set-Up Worksheet","",IF(OR(VLOOKUP($C$9,County_Lookup,25,FALSE)="",VLOOKUP($C$9,County_Lookup,25,FALSE)=0),"",VLOOKUP($C$9,County_Lookup,25,FALSE)))</f>
        <v/>
      </c>
      <c r="B40" s="222"/>
      <c r="C40" s="224"/>
      <c r="D40" s="224"/>
      <c r="E40" s="222"/>
      <c r="F40" s="61"/>
      <c r="G40" s="318" t="str">
        <f t="shared" si="2"/>
        <v/>
      </c>
      <c r="H40" s="70" t="str">
        <f t="shared" si="7"/>
        <v/>
      </c>
      <c r="I40" s="222"/>
      <c r="J40" s="224"/>
      <c r="K40" s="224"/>
      <c r="L40" s="222"/>
      <c r="M40" s="61"/>
      <c r="N40" s="318" t="str">
        <f t="shared" si="3"/>
        <v/>
      </c>
      <c r="O40" s="70" t="str">
        <f t="shared" si="4"/>
        <v/>
      </c>
      <c r="P40" s="222"/>
      <c r="Q40" s="224"/>
      <c r="R40" s="224"/>
      <c r="S40" s="222"/>
      <c r="T40" s="61"/>
      <c r="U40" s="318" t="str">
        <f t="shared" si="5"/>
        <v/>
      </c>
      <c r="V40" s="70" t="str">
        <f t="shared" si="6"/>
        <v/>
      </c>
    </row>
    <row r="41" spans="1:22" ht="18" customHeight="1" thickBot="1">
      <c r="A41" s="78" t="s">
        <v>0</v>
      </c>
      <c r="B41" s="223">
        <f t="shared" ref="B41:D41" si="14">SUM(B17:B40)</f>
        <v>0</v>
      </c>
      <c r="C41" s="72">
        <f t="shared" si="14"/>
        <v>0</v>
      </c>
      <c r="D41" s="72">
        <f t="shared" si="14"/>
        <v>0</v>
      </c>
      <c r="E41" s="317">
        <f>SUM(E17:E40)</f>
        <v>0</v>
      </c>
      <c r="F41" s="72">
        <f>SUM(F17:F40)</f>
        <v>0</v>
      </c>
      <c r="G41" s="319">
        <f t="shared" si="2"/>
        <v>0</v>
      </c>
      <c r="H41" s="73">
        <f>IF($A41="","",IF($F41=0,0,E41/$F41))</f>
        <v>0</v>
      </c>
      <c r="I41" s="223">
        <f t="shared" ref="I41:K41" si="15">SUM(I17:I40)</f>
        <v>0</v>
      </c>
      <c r="J41" s="72">
        <f t="shared" si="15"/>
        <v>0</v>
      </c>
      <c r="K41" s="72">
        <f t="shared" si="15"/>
        <v>0</v>
      </c>
      <c r="L41" s="317">
        <f>SUM(L17:L40)</f>
        <v>0</v>
      </c>
      <c r="M41" s="72">
        <f>SUM(M17:M40)</f>
        <v>0</v>
      </c>
      <c r="N41" s="319">
        <f t="shared" si="3"/>
        <v>0</v>
      </c>
      <c r="O41" s="73">
        <f t="shared" si="4"/>
        <v>0</v>
      </c>
      <c r="P41" s="223">
        <f t="shared" ref="P41:R41" si="16">SUM(P17:P40)</f>
        <v>0</v>
      </c>
      <c r="Q41" s="72">
        <f t="shared" si="16"/>
        <v>0</v>
      </c>
      <c r="R41" s="72">
        <f t="shared" si="16"/>
        <v>0</v>
      </c>
      <c r="S41" s="317">
        <f>SUM(S17:S40)</f>
        <v>0</v>
      </c>
      <c r="T41" s="72">
        <f>SUM(T17:T40)</f>
        <v>0</v>
      </c>
      <c r="U41" s="319">
        <f t="shared" si="5"/>
        <v>0</v>
      </c>
      <c r="V41" s="73">
        <f t="shared" si="6"/>
        <v>0</v>
      </c>
    </row>
    <row r="43" spans="1:22">
      <c r="B43" s="60" t="s">
        <v>471</v>
      </c>
      <c r="C43" s="60"/>
      <c r="D43" s="60"/>
      <c r="E43" s="60"/>
      <c r="F43" s="60"/>
      <c r="G43" s="60"/>
      <c r="H43" s="60"/>
      <c r="I43" s="60" t="s">
        <v>472</v>
      </c>
      <c r="J43" s="60"/>
      <c r="K43" s="60"/>
      <c r="L43" s="60"/>
      <c r="M43" s="60"/>
      <c r="N43" s="60"/>
      <c r="O43" s="60"/>
      <c r="P43" s="60" t="s">
        <v>473</v>
      </c>
    </row>
  </sheetData>
  <sheetProtection sheet="1" objects="1" scenarios="1"/>
  <conditionalFormatting sqref="G3:G4 C3:C4 G9 C9 G11 C11 E11">
    <cfRule type="expression" dxfId="341" priority="13">
      <formula>C3="Data Not Entered On Set-Up Worksheet"</formula>
    </cfRule>
  </conditionalFormatting>
  <conditionalFormatting sqref="F12:G12">
    <cfRule type="expression" dxfId="340" priority="12">
      <formula>F12="Data Not Entered On Set-Up Worksheet"</formula>
    </cfRule>
  </conditionalFormatting>
  <conditionalFormatting sqref="B17:F40">
    <cfRule type="expression" dxfId="339" priority="1">
      <formula>$A17="Other"</formula>
    </cfRule>
    <cfRule type="expression" dxfId="338" priority="11">
      <formula>AND($A17&lt;&gt;"",B17="")</formula>
    </cfRule>
  </conditionalFormatting>
  <conditionalFormatting sqref="N3:N4 J3:J4 N9 J9 N11 J11 L11">
    <cfRule type="expression" dxfId="337" priority="10">
      <formula>J3="Data Not Entered On Set-Up Worksheet"</formula>
    </cfRule>
  </conditionalFormatting>
  <conditionalFormatting sqref="M12:N12">
    <cfRule type="expression" dxfId="336" priority="9">
      <formula>M12="Data Not Entered On Set-Up Worksheet"</formula>
    </cfRule>
  </conditionalFormatting>
  <conditionalFormatting sqref="I17:M40">
    <cfRule type="expression" dxfId="335" priority="8">
      <formula>AND($A17&lt;&gt;"",I17="")</formula>
    </cfRule>
  </conditionalFormatting>
  <conditionalFormatting sqref="U3:U4 Q3:Q4 U9 Q9 U11 Q11 S11">
    <cfRule type="expression" dxfId="334" priority="7">
      <formula>Q3="Data Not Entered On Set-Up Worksheet"</formula>
    </cfRule>
  </conditionalFormatting>
  <conditionalFormatting sqref="T12:U12">
    <cfRule type="expression" dxfId="333" priority="6">
      <formula>T12="Data Not Entered On Set-Up Worksheet"</formula>
    </cfRule>
  </conditionalFormatting>
  <conditionalFormatting sqref="P17:T40">
    <cfRule type="expression" dxfId="332" priority="5">
      <formula>AND($A17&lt;&gt;"",P17="")</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16"/>
  <sheetViews>
    <sheetView showGridLines="0" workbookViewId="0">
      <selection activeCell="E7" sqref="E7"/>
    </sheetView>
  </sheetViews>
  <sheetFormatPr defaultRowHeight="12.75"/>
  <cols>
    <col min="1" max="1" width="22.42578125" style="22" customWidth="1"/>
    <col min="2" max="16384" width="9.140625" style="22"/>
  </cols>
  <sheetData>
    <row r="1" spans="1:13" ht="15" customHeight="1">
      <c r="A1" s="36" t="s">
        <v>28</v>
      </c>
    </row>
    <row r="2" spans="1:13" ht="15" customHeight="1">
      <c r="A2" s="36" t="s">
        <v>198</v>
      </c>
    </row>
    <row r="3" spans="1:13" ht="15" customHeight="1">
      <c r="A3" s="30" t="s">
        <v>196</v>
      </c>
      <c r="C3" s="147">
        <f>IF('Set-Up Worksheet'!F3="","Data Not Entered On Set-Up Worksheet",'Set-Up Worksheet'!F3)</f>
        <v>2017</v>
      </c>
    </row>
    <row r="4" spans="1:13" ht="15" customHeight="1">
      <c r="A4" s="30" t="s">
        <v>197</v>
      </c>
      <c r="C4" s="147" t="str">
        <f>IF('Set-Up Worksheet'!F4="","Data Not Entered On Set-Up Worksheet",'Set-Up Worksheet'!F4)</f>
        <v>1st Quarter</v>
      </c>
    </row>
    <row r="5" spans="1:13" ht="15" customHeight="1">
      <c r="C5" s="32"/>
    </row>
    <row r="6" spans="1:13" ht="15" customHeight="1">
      <c r="A6" s="30" t="s">
        <v>340</v>
      </c>
      <c r="C6" s="32"/>
    </row>
    <row r="7" spans="1:13" ht="15" customHeight="1">
      <c r="A7" s="30" t="s">
        <v>341</v>
      </c>
      <c r="C7" s="32"/>
    </row>
    <row r="8" spans="1:13" ht="15" customHeight="1">
      <c r="A8" s="30"/>
      <c r="C8" s="32"/>
    </row>
    <row r="9" spans="1:13" ht="15" customHeight="1">
      <c r="A9" s="30" t="s">
        <v>29</v>
      </c>
      <c r="C9" s="39" t="str">
        <f>IF('Set-Up Worksheet'!E7="","Data Not Entered On Set-Up Worksheet",'Set-Up Worksheet'!E7)</f>
        <v>Data Not Entered On Set-Up Worksheet</v>
      </c>
    </row>
    <row r="10" spans="1:13" ht="15" customHeight="1">
      <c r="A10" s="30" t="s">
        <v>9</v>
      </c>
      <c r="C10" s="32" t="s">
        <v>10</v>
      </c>
    </row>
    <row r="11" spans="1:13" ht="15" customHeight="1">
      <c r="A11" s="30" t="s">
        <v>199</v>
      </c>
      <c r="C11" s="40" t="str">
        <f>IF(C4="Data Not Entered On Set-Up Worksheet","Data Not Entered On Set-Up Worksheet",IF(C4="1st Quarter",'Report Schedule'!D25,IF(C4="2nd Quarter",'Report Schedule'!E25,IF(C4="3rd Quarter",'Report Schedule'!F25,IF(C4="4th Quarter",'Report Schedule'!G25,"")))))</f>
        <v>Jul - Sep 2016</v>
      </c>
    </row>
    <row r="14" spans="1:13" ht="112.5" customHeight="1">
      <c r="A14" s="522" t="s">
        <v>342</v>
      </c>
      <c r="B14" s="522"/>
      <c r="C14" s="522"/>
      <c r="D14" s="522"/>
      <c r="E14" s="522"/>
      <c r="F14" s="522"/>
      <c r="G14" s="522"/>
      <c r="H14" s="522"/>
      <c r="I14" s="522"/>
      <c r="J14" s="522"/>
      <c r="K14" s="522"/>
      <c r="L14" s="522"/>
      <c r="M14" s="47"/>
    </row>
    <row r="15" spans="1:13">
      <c r="A15" s="47"/>
      <c r="B15" s="47"/>
      <c r="C15" s="47"/>
      <c r="D15" s="47"/>
      <c r="E15" s="47"/>
      <c r="F15" s="47"/>
      <c r="G15" s="47"/>
      <c r="H15" s="47"/>
      <c r="I15" s="47"/>
      <c r="J15" s="47"/>
      <c r="K15" s="47"/>
      <c r="L15" s="47"/>
      <c r="M15" s="47"/>
    </row>
    <row r="16" spans="1:13">
      <c r="A16" s="47"/>
      <c r="B16" s="47"/>
      <c r="C16" s="47"/>
      <c r="D16" s="47"/>
      <c r="E16" s="47"/>
      <c r="F16" s="47"/>
      <c r="G16" s="47"/>
      <c r="H16" s="47"/>
      <c r="I16" s="47"/>
      <c r="J16" s="47"/>
      <c r="K16" s="47"/>
      <c r="L16" s="47"/>
      <c r="M16" s="47"/>
    </row>
  </sheetData>
  <sheetProtection sheet="1" objects="1" scenarios="1"/>
  <mergeCells count="1">
    <mergeCell ref="A14:L14"/>
  </mergeCells>
  <conditionalFormatting sqref="C3:C4">
    <cfRule type="expression" dxfId="331" priority="3">
      <formula>C3="Data Not Entered On Set-Up Worksheet"</formula>
    </cfRule>
  </conditionalFormatting>
  <conditionalFormatting sqref="C9">
    <cfRule type="expression" dxfId="330" priority="2">
      <formula>C9="Data Not Entered On Set-Up Worksheet"</formula>
    </cfRule>
  </conditionalFormatting>
  <conditionalFormatting sqref="C11">
    <cfRule type="expression" dxfId="329"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16"/>
  <sheetViews>
    <sheetView showGridLines="0" workbookViewId="0">
      <selection activeCell="E7" sqref="E7"/>
    </sheetView>
  </sheetViews>
  <sheetFormatPr defaultRowHeight="12.75"/>
  <cols>
    <col min="1" max="1" width="22.42578125" style="22" customWidth="1"/>
    <col min="2" max="16384" width="9.140625" style="22"/>
  </cols>
  <sheetData>
    <row r="1" spans="1:13" ht="15" customHeight="1">
      <c r="A1" s="36" t="s">
        <v>28</v>
      </c>
    </row>
    <row r="2" spans="1:13" ht="15" customHeight="1">
      <c r="A2" s="36" t="s">
        <v>198</v>
      </c>
    </row>
    <row r="3" spans="1:13" ht="15" customHeight="1">
      <c r="A3" s="30" t="s">
        <v>196</v>
      </c>
      <c r="C3" s="147">
        <f>IF('Set-Up Worksheet'!F3="","Data Not Entered On Set-Up Worksheet",'Set-Up Worksheet'!F3)</f>
        <v>2017</v>
      </c>
    </row>
    <row r="4" spans="1:13" ht="15" customHeight="1">
      <c r="A4" s="30" t="s">
        <v>197</v>
      </c>
      <c r="C4" s="147" t="str">
        <f>IF('Set-Up Worksheet'!F4="","Data Not Entered On Set-Up Worksheet",'Set-Up Worksheet'!F4)</f>
        <v>1st Quarter</v>
      </c>
    </row>
    <row r="5" spans="1:13" ht="15" customHeight="1">
      <c r="C5" s="32"/>
    </row>
    <row r="6" spans="1:13" ht="15" customHeight="1">
      <c r="A6" s="30" t="s">
        <v>340</v>
      </c>
      <c r="C6" s="32"/>
    </row>
    <row r="7" spans="1:13" ht="15" customHeight="1">
      <c r="A7" s="30" t="s">
        <v>343</v>
      </c>
      <c r="C7" s="32"/>
    </row>
    <row r="8" spans="1:13" ht="15" customHeight="1">
      <c r="A8" s="30"/>
      <c r="C8" s="32"/>
    </row>
    <row r="9" spans="1:13" ht="15" customHeight="1">
      <c r="A9" s="30" t="s">
        <v>29</v>
      </c>
      <c r="C9" s="39" t="str">
        <f>IF('Set-Up Worksheet'!E7="","Data Not Entered On Set-Up Worksheet",'Set-Up Worksheet'!E7)</f>
        <v>Data Not Entered On Set-Up Worksheet</v>
      </c>
    </row>
    <row r="10" spans="1:13" ht="15" customHeight="1">
      <c r="A10" s="30" t="s">
        <v>9</v>
      </c>
      <c r="C10" s="32" t="s">
        <v>10</v>
      </c>
    </row>
    <row r="11" spans="1:13" ht="15" customHeight="1">
      <c r="A11" s="30" t="s">
        <v>199</v>
      </c>
      <c r="C11" s="40" t="str">
        <f>IF(C4="Data Not Entered On Set-Up Worksheet","Data Not Entered On Set-Up Worksheet",IF(C4="1st Quarter",'Report Schedule'!D28,IF(C4="2nd Quarter",'Report Schedule'!E28,IF(C4="3rd Quarter",'Report Schedule'!F28,IF(C4="4th Quarter",'Report Schedule'!G28,"")))))</f>
        <v>Apr - Jun 2016</v>
      </c>
    </row>
    <row r="14" spans="1:13" ht="76.5" customHeight="1">
      <c r="A14" s="522" t="s">
        <v>433</v>
      </c>
      <c r="B14" s="522"/>
      <c r="C14" s="522"/>
      <c r="D14" s="522"/>
      <c r="E14" s="522"/>
      <c r="F14" s="522"/>
      <c r="G14" s="522"/>
      <c r="H14" s="522"/>
      <c r="I14" s="522"/>
      <c r="J14" s="522"/>
      <c r="K14" s="522"/>
      <c r="L14" s="522"/>
      <c r="M14" s="47"/>
    </row>
    <row r="15" spans="1:13">
      <c r="A15" s="47"/>
      <c r="B15" s="47"/>
      <c r="C15" s="47"/>
      <c r="D15" s="47"/>
      <c r="E15" s="47"/>
      <c r="F15" s="47"/>
      <c r="G15" s="47"/>
      <c r="H15" s="47"/>
      <c r="I15" s="47"/>
      <c r="J15" s="47"/>
      <c r="K15" s="47"/>
      <c r="L15" s="47"/>
      <c r="M15" s="47"/>
    </row>
    <row r="16" spans="1:13">
      <c r="A16" s="47"/>
      <c r="B16" s="47"/>
      <c r="C16" s="47"/>
      <c r="D16" s="47"/>
      <c r="E16" s="47"/>
      <c r="F16" s="47"/>
      <c r="G16" s="47"/>
      <c r="H16" s="47"/>
      <c r="I16" s="47"/>
      <c r="J16" s="47"/>
      <c r="K16" s="47"/>
      <c r="L16" s="47"/>
      <c r="M16" s="47"/>
    </row>
  </sheetData>
  <sheetProtection sheet="1" objects="1" scenarios="1"/>
  <mergeCells count="1">
    <mergeCell ref="A14:L14"/>
  </mergeCells>
  <conditionalFormatting sqref="C3:C4">
    <cfRule type="expression" dxfId="328" priority="3">
      <formula>C3="Data Not Entered On Set-Up Worksheet"</formula>
    </cfRule>
  </conditionalFormatting>
  <conditionalFormatting sqref="C9">
    <cfRule type="expression" dxfId="327" priority="2">
      <formula>C9="Data Not Entered On Set-Up Worksheet"</formula>
    </cfRule>
  </conditionalFormatting>
  <conditionalFormatting sqref="C11">
    <cfRule type="expression" dxfId="326"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F4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46" width="14.7109375" style="22" customWidth="1"/>
    <col min="47" max="47" width="8.85546875" style="22" bestFit="1" customWidth="1"/>
    <col min="48" max="16384" width="9.140625" style="22"/>
  </cols>
  <sheetData>
    <row r="1" spans="1:58" ht="15" customHeight="1">
      <c r="A1" s="36" t="s">
        <v>28</v>
      </c>
      <c r="N1" s="30"/>
      <c r="Q1" s="30" t="s">
        <v>332</v>
      </c>
      <c r="AC1" s="30"/>
      <c r="AF1" s="30" t="s">
        <v>332</v>
      </c>
      <c r="AR1" s="30"/>
    </row>
    <row r="2" spans="1:58" ht="15" customHeight="1">
      <c r="A2" s="36" t="s">
        <v>198</v>
      </c>
      <c r="N2" s="321"/>
      <c r="Q2" s="321" t="s">
        <v>333</v>
      </c>
      <c r="AC2" s="321"/>
      <c r="AF2" s="321" t="s">
        <v>333</v>
      </c>
      <c r="AR2" s="321"/>
    </row>
    <row r="3" spans="1:58" ht="15" customHeight="1">
      <c r="A3" s="30" t="s">
        <v>196</v>
      </c>
      <c r="C3" s="147">
        <f>IF('Set-Up Worksheet'!F3="","Data Not Entered On Set-Up Worksheet",'Set-Up Worksheet'!F3)</f>
        <v>2017</v>
      </c>
      <c r="F3" s="38"/>
      <c r="I3" s="38"/>
      <c r="L3" s="38"/>
      <c r="O3" s="147"/>
      <c r="R3" s="147">
        <f t="shared" ref="R3:R11" si="0">C3</f>
        <v>2017</v>
      </c>
      <c r="U3" s="38"/>
      <c r="X3" s="38"/>
      <c r="AA3" s="38"/>
      <c r="AD3" s="147"/>
      <c r="AG3" s="147">
        <f t="shared" ref="AG3:AG11" si="1">C3</f>
        <v>2017</v>
      </c>
      <c r="AJ3" s="38"/>
      <c r="AM3" s="38"/>
      <c r="AP3" s="38"/>
      <c r="AS3" s="147"/>
    </row>
    <row r="4" spans="1:58" ht="15" customHeight="1">
      <c r="A4" s="30" t="s">
        <v>197</v>
      </c>
      <c r="C4" s="147" t="str">
        <f>IF('Set-Up Worksheet'!F4="","Data Not Entered On Set-Up Worksheet",'Set-Up Worksheet'!F4)</f>
        <v>1st Quarter</v>
      </c>
      <c r="F4" s="32"/>
      <c r="I4" s="32"/>
      <c r="L4" s="32"/>
      <c r="O4" s="147"/>
      <c r="R4" s="147" t="str">
        <f t="shared" si="0"/>
        <v>1st Quarter</v>
      </c>
      <c r="U4" s="32"/>
      <c r="X4" s="32"/>
      <c r="AA4" s="32"/>
      <c r="AD4" s="147"/>
      <c r="AG4" s="147" t="str">
        <f t="shared" si="1"/>
        <v>1st Quarter</v>
      </c>
      <c r="AJ4" s="32"/>
      <c r="AM4" s="32"/>
      <c r="AP4" s="32"/>
      <c r="AS4" s="147"/>
    </row>
    <row r="5" spans="1:58" ht="15" customHeight="1">
      <c r="A5" s="30"/>
      <c r="C5" s="32"/>
      <c r="F5" s="32"/>
      <c r="I5" s="32"/>
      <c r="L5" s="32"/>
      <c r="O5" s="39"/>
      <c r="R5" s="39"/>
      <c r="U5" s="32"/>
      <c r="X5" s="32"/>
      <c r="AA5" s="32"/>
      <c r="AD5" s="39"/>
      <c r="AG5" s="39"/>
      <c r="AJ5" s="32"/>
      <c r="AM5" s="32"/>
      <c r="AP5" s="32"/>
      <c r="AS5" s="39"/>
    </row>
    <row r="6" spans="1:58" ht="15" customHeight="1">
      <c r="A6" s="30" t="s">
        <v>340</v>
      </c>
      <c r="C6" s="32"/>
      <c r="F6" s="32"/>
      <c r="I6" s="32"/>
      <c r="L6" s="32"/>
      <c r="N6" s="30"/>
      <c r="O6" s="39"/>
      <c r="Q6" s="30" t="s">
        <v>347</v>
      </c>
      <c r="R6" s="39"/>
      <c r="U6" s="32"/>
      <c r="X6" s="32"/>
      <c r="AA6" s="32"/>
      <c r="AC6" s="30"/>
      <c r="AD6" s="39"/>
      <c r="AF6" s="30" t="s">
        <v>347</v>
      </c>
      <c r="AG6" s="39"/>
      <c r="AJ6" s="32"/>
      <c r="AM6" s="32"/>
      <c r="AP6" s="32"/>
      <c r="AR6" s="30"/>
      <c r="AS6" s="39"/>
    </row>
    <row r="7" spans="1:58" ht="15" customHeight="1">
      <c r="A7" s="30" t="s">
        <v>344</v>
      </c>
      <c r="C7" s="32"/>
      <c r="F7" s="32"/>
      <c r="I7" s="32"/>
      <c r="L7" s="32"/>
      <c r="N7" s="321"/>
      <c r="O7" s="39"/>
      <c r="Q7" s="321" t="s">
        <v>346</v>
      </c>
      <c r="R7" s="39"/>
      <c r="U7" s="32"/>
      <c r="X7" s="32"/>
      <c r="AA7" s="32"/>
      <c r="AC7" s="321"/>
      <c r="AD7" s="39"/>
      <c r="AF7" s="321" t="s">
        <v>346</v>
      </c>
      <c r="AG7" s="39"/>
      <c r="AJ7" s="32"/>
      <c r="AM7" s="32"/>
      <c r="AP7" s="32"/>
      <c r="AR7" s="321"/>
      <c r="AS7" s="39"/>
    </row>
    <row r="8" spans="1:58" ht="15" customHeight="1">
      <c r="A8" s="30"/>
      <c r="C8" s="32"/>
      <c r="F8" s="32"/>
      <c r="I8" s="32"/>
      <c r="L8" s="32"/>
      <c r="O8" s="39"/>
      <c r="R8" s="39"/>
      <c r="U8" s="32"/>
      <c r="X8" s="32"/>
      <c r="AA8" s="32"/>
      <c r="AD8" s="39"/>
      <c r="AG8" s="39"/>
      <c r="AJ8" s="32"/>
      <c r="AM8" s="32"/>
      <c r="AP8" s="32"/>
      <c r="AS8" s="39"/>
      <c r="AX8" s="54"/>
      <c r="AY8" s="54"/>
      <c r="AZ8" s="55"/>
      <c r="BA8" s="54"/>
      <c r="BB8" s="54"/>
      <c r="BC8" s="54"/>
      <c r="BD8" s="54"/>
      <c r="BE8" s="30"/>
      <c r="BF8" s="35"/>
    </row>
    <row r="9" spans="1:58" ht="15" customHeight="1">
      <c r="A9" s="30" t="s">
        <v>29</v>
      </c>
      <c r="C9" s="39" t="str">
        <f>IF('Set-Up Worksheet'!E7="","Data Not Entered On Set-Up Worksheet",'Set-Up Worksheet'!E7)</f>
        <v>Data Not Entered On Set-Up Worksheet</v>
      </c>
      <c r="I9" s="39"/>
      <c r="L9" s="39"/>
      <c r="O9" s="39"/>
      <c r="R9" s="39" t="str">
        <f t="shared" si="0"/>
        <v>Data Not Entered On Set-Up Worksheet</v>
      </c>
      <c r="U9" s="39"/>
      <c r="X9" s="39"/>
      <c r="AA9" s="39"/>
      <c r="AD9" s="39"/>
      <c r="AG9" s="39" t="str">
        <f t="shared" si="1"/>
        <v>Data Not Entered On Set-Up Worksheet</v>
      </c>
      <c r="AJ9" s="39"/>
      <c r="AM9" s="39"/>
      <c r="AP9" s="39"/>
      <c r="AS9" s="39"/>
    </row>
    <row r="10" spans="1:58" ht="15" customHeight="1">
      <c r="A10" s="30" t="s">
        <v>9</v>
      </c>
      <c r="C10" s="32" t="s">
        <v>10</v>
      </c>
      <c r="F10" s="79" t="s">
        <v>449</v>
      </c>
      <c r="I10" s="32"/>
      <c r="L10" s="32"/>
      <c r="O10" s="39"/>
      <c r="R10" s="39" t="str">
        <f t="shared" si="0"/>
        <v>Behavioral Health</v>
      </c>
      <c r="U10" s="32"/>
      <c r="X10" s="32"/>
      <c r="AA10" s="32"/>
      <c r="AD10" s="39"/>
      <c r="AG10" s="39" t="str">
        <f t="shared" si="1"/>
        <v>Behavioral Health</v>
      </c>
      <c r="AJ10" s="32"/>
      <c r="AM10" s="32"/>
      <c r="AP10" s="32"/>
      <c r="AS10" s="39"/>
    </row>
    <row r="11" spans="1:58" ht="15" customHeight="1">
      <c r="A11" s="30" t="s">
        <v>199</v>
      </c>
      <c r="C11" s="40" t="str">
        <f>IF(C4="Data Not Entered On Set-Up Worksheet","Data Not Entered On Set-Up Worksheet",IF(C4="1st Quarter",'Report Schedule'!D31,IF(C4="2nd Quarter",'Report Schedule'!E31,IF(C4="3rd Quarter",'Report Schedule'!F31,IF(C4="4th Quarter",'Report Schedule'!G31,"")))))</f>
        <v>Apr - Jun 2016</v>
      </c>
      <c r="F11" s="79"/>
      <c r="I11" s="40"/>
      <c r="L11" s="40"/>
      <c r="O11" s="40"/>
      <c r="R11" s="40" t="str">
        <f t="shared" si="0"/>
        <v>Apr - Jun 2016</v>
      </c>
      <c r="U11" s="40"/>
      <c r="X11" s="40"/>
      <c r="AA11" s="40"/>
      <c r="AD11" s="40"/>
      <c r="AG11" s="40" t="str">
        <f t="shared" si="1"/>
        <v>Apr - Jun 2016</v>
      </c>
      <c r="AJ11" s="40"/>
      <c r="AM11" s="40"/>
      <c r="AP11" s="40"/>
      <c r="AS11" s="40"/>
    </row>
    <row r="12" spans="1:58" ht="15" customHeight="1" thickBot="1">
      <c r="A12" s="30"/>
      <c r="C12" s="40"/>
      <c r="F12" s="79"/>
      <c r="I12" s="40"/>
      <c r="L12" s="40"/>
      <c r="O12" s="40"/>
      <c r="R12" s="40"/>
      <c r="U12" s="40"/>
      <c r="X12" s="40"/>
      <c r="AA12" s="40"/>
      <c r="AD12" s="40"/>
      <c r="AG12" s="40"/>
      <c r="AJ12" s="40"/>
      <c r="AM12" s="40"/>
      <c r="AP12" s="40"/>
      <c r="AS12" s="40"/>
    </row>
    <row r="13" spans="1:58" ht="18" customHeight="1" thickBot="1">
      <c r="A13" s="226" t="s">
        <v>245</v>
      </c>
      <c r="B13" s="384" t="s">
        <v>39</v>
      </c>
      <c r="C13" s="235"/>
      <c r="D13" s="235"/>
      <c r="E13" s="315"/>
      <c r="F13" s="235"/>
      <c r="G13" s="235"/>
      <c r="H13" s="235"/>
      <c r="I13" s="235"/>
      <c r="J13" s="235"/>
      <c r="K13" s="235"/>
      <c r="L13" s="235"/>
      <c r="M13" s="235"/>
      <c r="N13" s="315"/>
      <c r="O13" s="235"/>
      <c r="P13" s="236"/>
      <c r="Q13" s="383" t="s">
        <v>244</v>
      </c>
      <c r="R13" s="231"/>
      <c r="S13" s="231"/>
      <c r="T13" s="82"/>
      <c r="U13" s="231"/>
      <c r="V13" s="231"/>
      <c r="W13" s="231"/>
      <c r="X13" s="231"/>
      <c r="Y13" s="231"/>
      <c r="Z13" s="231"/>
      <c r="AA13" s="231"/>
      <c r="AB13" s="231"/>
      <c r="AC13" s="82"/>
      <c r="AD13" s="231"/>
      <c r="AE13" s="232"/>
      <c r="AF13" s="384" t="s">
        <v>345</v>
      </c>
      <c r="AG13" s="235"/>
      <c r="AH13" s="235"/>
      <c r="AI13" s="315"/>
      <c r="AJ13" s="235"/>
      <c r="AK13" s="235"/>
      <c r="AL13" s="235"/>
      <c r="AM13" s="235"/>
      <c r="AN13" s="235"/>
      <c r="AO13" s="235"/>
      <c r="AP13" s="235"/>
      <c r="AQ13" s="235"/>
      <c r="AR13" s="315"/>
      <c r="AS13" s="235"/>
      <c r="AT13" s="236"/>
    </row>
    <row r="14" spans="1:58" s="35" customFormat="1" ht="18" customHeight="1" thickBot="1">
      <c r="A14" s="233" t="s">
        <v>255</v>
      </c>
      <c r="B14" s="234" t="s">
        <v>249</v>
      </c>
      <c r="C14" s="237"/>
      <c r="D14" s="238"/>
      <c r="E14" s="234" t="s">
        <v>146</v>
      </c>
      <c r="F14" s="237"/>
      <c r="G14" s="238"/>
      <c r="H14" s="234" t="s">
        <v>250</v>
      </c>
      <c r="I14" s="237"/>
      <c r="J14" s="238"/>
      <c r="K14" s="234" t="s">
        <v>253</v>
      </c>
      <c r="L14" s="237"/>
      <c r="M14" s="238"/>
      <c r="N14" s="234" t="s">
        <v>147</v>
      </c>
      <c r="O14" s="237"/>
      <c r="P14" s="238"/>
      <c r="Q14" s="63" t="s">
        <v>249</v>
      </c>
      <c r="R14" s="64"/>
      <c r="S14" s="65"/>
      <c r="T14" s="63" t="s">
        <v>146</v>
      </c>
      <c r="U14" s="64"/>
      <c r="V14" s="65"/>
      <c r="W14" s="63" t="s">
        <v>250</v>
      </c>
      <c r="X14" s="64"/>
      <c r="Y14" s="65"/>
      <c r="Z14" s="63" t="s">
        <v>253</v>
      </c>
      <c r="AA14" s="64"/>
      <c r="AB14" s="65"/>
      <c r="AC14" s="63" t="s">
        <v>147</v>
      </c>
      <c r="AD14" s="64"/>
      <c r="AE14" s="65"/>
      <c r="AF14" s="234" t="s">
        <v>249</v>
      </c>
      <c r="AG14" s="237"/>
      <c r="AH14" s="238"/>
      <c r="AI14" s="234" t="s">
        <v>146</v>
      </c>
      <c r="AJ14" s="237"/>
      <c r="AK14" s="238"/>
      <c r="AL14" s="234" t="s">
        <v>250</v>
      </c>
      <c r="AM14" s="237"/>
      <c r="AN14" s="238"/>
      <c r="AO14" s="234" t="s">
        <v>253</v>
      </c>
      <c r="AP14" s="237"/>
      <c r="AQ14" s="238"/>
      <c r="AR14" s="234" t="s">
        <v>147</v>
      </c>
      <c r="AS14" s="237"/>
      <c r="AT14" s="238"/>
    </row>
    <row r="15" spans="1:58" s="35" customFormat="1" ht="13.5" thickBot="1">
      <c r="A15" s="30"/>
      <c r="B15" s="56" t="s">
        <v>3</v>
      </c>
      <c r="C15" s="57" t="s">
        <v>4</v>
      </c>
      <c r="D15" s="58" t="s">
        <v>5</v>
      </c>
      <c r="E15" s="56" t="s">
        <v>3</v>
      </c>
      <c r="F15" s="57" t="s">
        <v>4</v>
      </c>
      <c r="G15" s="58" t="s">
        <v>5</v>
      </c>
      <c r="H15" s="56" t="s">
        <v>3</v>
      </c>
      <c r="I15" s="57" t="s">
        <v>4</v>
      </c>
      <c r="J15" s="58" t="s">
        <v>5</v>
      </c>
      <c r="K15" s="56" t="s">
        <v>3</v>
      </c>
      <c r="L15" s="57" t="s">
        <v>4</v>
      </c>
      <c r="M15" s="58" t="s">
        <v>5</v>
      </c>
      <c r="N15" s="56" t="s">
        <v>3</v>
      </c>
      <c r="O15" s="57" t="s">
        <v>4</v>
      </c>
      <c r="P15" s="58" t="s">
        <v>5</v>
      </c>
      <c r="Q15" s="56" t="s">
        <v>3</v>
      </c>
      <c r="R15" s="57" t="s">
        <v>4</v>
      </c>
      <c r="S15" s="58" t="s">
        <v>5</v>
      </c>
      <c r="T15" s="56" t="s">
        <v>3</v>
      </c>
      <c r="U15" s="57" t="s">
        <v>4</v>
      </c>
      <c r="V15" s="58" t="s">
        <v>5</v>
      </c>
      <c r="W15" s="56" t="s">
        <v>3</v>
      </c>
      <c r="X15" s="57" t="s">
        <v>4</v>
      </c>
      <c r="Y15" s="58" t="s">
        <v>5</v>
      </c>
      <c r="Z15" s="56" t="s">
        <v>3</v>
      </c>
      <c r="AA15" s="57" t="s">
        <v>4</v>
      </c>
      <c r="AB15" s="58" t="s">
        <v>5</v>
      </c>
      <c r="AC15" s="56" t="s">
        <v>3</v>
      </c>
      <c r="AD15" s="57" t="s">
        <v>4</v>
      </c>
      <c r="AE15" s="58" t="s">
        <v>5</v>
      </c>
      <c r="AF15" s="56" t="s">
        <v>3</v>
      </c>
      <c r="AG15" s="57" t="s">
        <v>4</v>
      </c>
      <c r="AH15" s="58" t="s">
        <v>5</v>
      </c>
      <c r="AI15" s="56" t="s">
        <v>3</v>
      </c>
      <c r="AJ15" s="57" t="s">
        <v>4</v>
      </c>
      <c r="AK15" s="58" t="s">
        <v>5</v>
      </c>
      <c r="AL15" s="56" t="s">
        <v>3</v>
      </c>
      <c r="AM15" s="57" t="s">
        <v>4</v>
      </c>
      <c r="AN15" s="58" t="s">
        <v>5</v>
      </c>
      <c r="AO15" s="56" t="s">
        <v>3</v>
      </c>
      <c r="AP15" s="57" t="s">
        <v>4</v>
      </c>
      <c r="AQ15" s="58" t="s">
        <v>5</v>
      </c>
      <c r="AR15" s="56" t="s">
        <v>3</v>
      </c>
      <c r="AS15" s="57" t="s">
        <v>4</v>
      </c>
      <c r="AT15" s="58" t="s">
        <v>5</v>
      </c>
      <c r="AU15" s="33"/>
      <c r="AV15" s="30"/>
      <c r="AW15" s="30"/>
      <c r="AX15" s="30"/>
      <c r="AY15" s="30"/>
      <c r="AZ15" s="30"/>
    </row>
    <row r="16" spans="1:58" ht="39.950000000000003" customHeight="1">
      <c r="A16" s="75" t="s">
        <v>43</v>
      </c>
      <c r="B16" s="239" t="s">
        <v>424</v>
      </c>
      <c r="C16" s="240" t="s">
        <v>41</v>
      </c>
      <c r="D16" s="241" t="s">
        <v>11</v>
      </c>
      <c r="E16" s="239" t="s">
        <v>424</v>
      </c>
      <c r="F16" s="240" t="s">
        <v>41</v>
      </c>
      <c r="G16" s="241" t="s">
        <v>11</v>
      </c>
      <c r="H16" s="239" t="s">
        <v>424</v>
      </c>
      <c r="I16" s="240" t="s">
        <v>41</v>
      </c>
      <c r="J16" s="241" t="s">
        <v>11</v>
      </c>
      <c r="K16" s="239" t="s">
        <v>424</v>
      </c>
      <c r="L16" s="240" t="s">
        <v>41</v>
      </c>
      <c r="M16" s="241" t="s">
        <v>11</v>
      </c>
      <c r="N16" s="239" t="s">
        <v>424</v>
      </c>
      <c r="O16" s="240" t="s">
        <v>41</v>
      </c>
      <c r="P16" s="241" t="s">
        <v>11</v>
      </c>
      <c r="Q16" s="66" t="s">
        <v>424</v>
      </c>
      <c r="R16" s="67" t="s">
        <v>41</v>
      </c>
      <c r="S16" s="68" t="s">
        <v>11</v>
      </c>
      <c r="T16" s="66" t="s">
        <v>424</v>
      </c>
      <c r="U16" s="67" t="s">
        <v>30</v>
      </c>
      <c r="V16" s="68" t="s">
        <v>11</v>
      </c>
      <c r="W16" s="66" t="s">
        <v>424</v>
      </c>
      <c r="X16" s="67" t="s">
        <v>30</v>
      </c>
      <c r="Y16" s="68" t="s">
        <v>11</v>
      </c>
      <c r="Z16" s="66" t="s">
        <v>424</v>
      </c>
      <c r="AA16" s="67" t="s">
        <v>30</v>
      </c>
      <c r="AB16" s="68" t="s">
        <v>11</v>
      </c>
      <c r="AC16" s="66" t="s">
        <v>424</v>
      </c>
      <c r="AD16" s="67" t="s">
        <v>41</v>
      </c>
      <c r="AE16" s="68" t="s">
        <v>11</v>
      </c>
      <c r="AF16" s="239" t="s">
        <v>424</v>
      </c>
      <c r="AG16" s="240" t="s">
        <v>30</v>
      </c>
      <c r="AH16" s="241" t="s">
        <v>11</v>
      </c>
      <c r="AI16" s="239" t="s">
        <v>424</v>
      </c>
      <c r="AJ16" s="240" t="s">
        <v>30</v>
      </c>
      <c r="AK16" s="241" t="s">
        <v>11</v>
      </c>
      <c r="AL16" s="239" t="s">
        <v>424</v>
      </c>
      <c r="AM16" s="240" t="s">
        <v>30</v>
      </c>
      <c r="AN16" s="241" t="s">
        <v>11</v>
      </c>
      <c r="AO16" s="239" t="s">
        <v>424</v>
      </c>
      <c r="AP16" s="240" t="s">
        <v>30</v>
      </c>
      <c r="AQ16" s="241" t="s">
        <v>11</v>
      </c>
      <c r="AR16" s="239" t="s">
        <v>424</v>
      </c>
      <c r="AS16" s="240" t="s">
        <v>41</v>
      </c>
      <c r="AT16" s="241" t="s">
        <v>11</v>
      </c>
    </row>
    <row r="17" spans="1:46" ht="18" customHeight="1">
      <c r="A17" s="76" t="str">
        <f>IF($C$9="Data Not Entered On Set-Up Worksheet","",IF(OR(VLOOKUP($C$9,County_Lookup,2,FALSE)="",VLOOKUP($C$9,County_Lookup,2,FALSE)=0),"",VLOOKUP($C$9,County_Lookup,2,FALSE)))</f>
        <v/>
      </c>
      <c r="B17" s="69"/>
      <c r="C17" s="61"/>
      <c r="D17" s="324" t="str">
        <f>IF($A17="","",IF(C17=0,0,B17/C17))</f>
        <v/>
      </c>
      <c r="E17" s="69"/>
      <c r="F17" s="61"/>
      <c r="G17" s="324" t="str">
        <f>IF($A17="","",IF(F17=0,0,E17/F17))</f>
        <v/>
      </c>
      <c r="H17" s="69"/>
      <c r="I17" s="61"/>
      <c r="J17" s="324" t="str">
        <f>IF($A17="","",IF(I17=0,0,H17/I17))</f>
        <v/>
      </c>
      <c r="K17" s="74" t="str">
        <f>IF($A17="","",SUM(E17,H17))</f>
        <v/>
      </c>
      <c r="L17" s="62" t="str">
        <f>IF($A17="","",SUM(F17,I17))</f>
        <v/>
      </c>
      <c r="M17" s="324" t="str">
        <f>IF($A17="","",IF(L17=0,0,K17/L17))</f>
        <v/>
      </c>
      <c r="N17" s="74" t="str">
        <f t="shared" ref="N17:N40" si="2">IF($A17="","",SUM(B17,E17,H17))</f>
        <v/>
      </c>
      <c r="O17" s="62" t="str">
        <f t="shared" ref="O17:O40" si="3">IF($A17="","",SUM(C17,F17,I17))</f>
        <v/>
      </c>
      <c r="P17" s="324" t="str">
        <f>IF($A17="","",IF(O17=0,0,N17/O17))</f>
        <v/>
      </c>
      <c r="Q17" s="69"/>
      <c r="R17" s="61"/>
      <c r="S17" s="324" t="str">
        <f>IF($A17="","",IF(R17=0,0,Q17/R17))</f>
        <v/>
      </c>
      <c r="T17" s="69"/>
      <c r="U17" s="61"/>
      <c r="V17" s="324" t="str">
        <f>IF($A17="","",IF(U17=0,0,T17/U17))</f>
        <v/>
      </c>
      <c r="W17" s="69"/>
      <c r="X17" s="61"/>
      <c r="Y17" s="324" t="str">
        <f>IF($A17="","",IF(X17=0,0,W17/X17))</f>
        <v/>
      </c>
      <c r="Z17" s="74" t="str">
        <f>IF($A17="","",SUM(T17,W17))</f>
        <v/>
      </c>
      <c r="AA17" s="62" t="str">
        <f>IF($A17="","",SUM(U17,X17))</f>
        <v/>
      </c>
      <c r="AB17" s="324" t="str">
        <f>IF($A17="","",IF(AA17=0,0,Z17/AA17))</f>
        <v/>
      </c>
      <c r="AC17" s="74" t="str">
        <f t="shared" ref="AC17:AC40" si="4">IF($A17="","",SUM(Q17,T17,W17))</f>
        <v/>
      </c>
      <c r="AD17" s="62" t="str">
        <f t="shared" ref="AD17:AD40" si="5">IF($A17="","",SUM(R17,U17,X17))</f>
        <v/>
      </c>
      <c r="AE17" s="324" t="str">
        <f>IF($A17="","",IF(AD17=0,0,AC17/AD17))</f>
        <v/>
      </c>
      <c r="AF17" s="69"/>
      <c r="AG17" s="61"/>
      <c r="AH17" s="324" t="str">
        <f>IF($A17="","",IF(AG17=0,0,AF17/AG17))</f>
        <v/>
      </c>
      <c r="AI17" s="69"/>
      <c r="AJ17" s="61"/>
      <c r="AK17" s="324" t="str">
        <f>IF($A17="","",IF(AJ17=0,0,AI17/AJ17))</f>
        <v/>
      </c>
      <c r="AL17" s="69"/>
      <c r="AM17" s="61"/>
      <c r="AN17" s="324" t="str">
        <f>IF($A17="","",IF(AM17=0,0,AL17/AM17))</f>
        <v/>
      </c>
      <c r="AO17" s="74" t="str">
        <f>IF($A17="","",SUM(AI17,AL17))</f>
        <v/>
      </c>
      <c r="AP17" s="62" t="str">
        <f>IF($A17="","",SUM(AJ17,AM17))</f>
        <v/>
      </c>
      <c r="AQ17" s="324" t="str">
        <f>IF($A17="","",IF(AP17=0,0,AO17/AP17))</f>
        <v/>
      </c>
      <c r="AR17" s="74" t="str">
        <f t="shared" ref="AR17:AR40" si="6">IF($A17="","",SUM(AF17,AI17,AL17))</f>
        <v/>
      </c>
      <c r="AS17" s="62" t="str">
        <f t="shared" ref="AS17:AS40" si="7">IF($A17="","",SUM(AG17,AJ17,AM17))</f>
        <v/>
      </c>
      <c r="AT17" s="324" t="str">
        <f>IF($A17="","",IF(AS17=0,0,AR17/AS17))</f>
        <v/>
      </c>
    </row>
    <row r="18" spans="1:46" ht="18" customHeight="1">
      <c r="A18" s="77" t="str">
        <f>IF($C$9="Data Not Entered On Set-Up Worksheet","",IF(OR(VLOOKUP($C$9,County_Lookup,3,FALSE)="",VLOOKUP($C$9,County_Lookup,3,FALSE)=0),"",VLOOKUP($C$9,County_Lookup,3,FALSE)))</f>
        <v/>
      </c>
      <c r="B18" s="69"/>
      <c r="C18" s="61"/>
      <c r="D18" s="324" t="str">
        <f t="shared" ref="D18:D40" si="8">IF($A18="","",IF(C18=0,0,B18/C18))</f>
        <v/>
      </c>
      <c r="E18" s="69"/>
      <c r="F18" s="61"/>
      <c r="G18" s="324" t="str">
        <f t="shared" ref="G18:G40" si="9">IF($A18="","",IF(F18=0,0,E18/F18))</f>
        <v/>
      </c>
      <c r="H18" s="69"/>
      <c r="I18" s="61"/>
      <c r="J18" s="324" t="str">
        <f t="shared" ref="J18:J40" si="10">IF($A18="","",IF(I18=0,0,H18/I18))</f>
        <v/>
      </c>
      <c r="K18" s="74" t="str">
        <f t="shared" ref="K18:L40" si="11">IF($A18="","",SUM(E18,H18))</f>
        <v/>
      </c>
      <c r="L18" s="62" t="str">
        <f t="shared" si="11"/>
        <v/>
      </c>
      <c r="M18" s="324" t="str">
        <f t="shared" ref="M18:M40" si="12">IF($A18="","",IF(L18=0,0,K18/L18))</f>
        <v/>
      </c>
      <c r="N18" s="74" t="str">
        <f t="shared" si="2"/>
        <v/>
      </c>
      <c r="O18" s="62" t="str">
        <f t="shared" si="3"/>
        <v/>
      </c>
      <c r="P18" s="324" t="str">
        <f t="shared" ref="P18:P40" si="13">IF($A18="","",IF(O18=0,0,N18/O18))</f>
        <v/>
      </c>
      <c r="Q18" s="69"/>
      <c r="R18" s="61"/>
      <c r="S18" s="324" t="str">
        <f t="shared" ref="S18:S40" si="14">IF($A18="","",IF(R18=0,0,Q18/R18))</f>
        <v/>
      </c>
      <c r="T18" s="69"/>
      <c r="U18" s="61"/>
      <c r="V18" s="324" t="str">
        <f t="shared" ref="V18:V40" si="15">IF($A18="","",IF(U18=0,0,T18/U18))</f>
        <v/>
      </c>
      <c r="W18" s="69"/>
      <c r="X18" s="61"/>
      <c r="Y18" s="324" t="str">
        <f t="shared" ref="Y18:Y40" si="16">IF($A18="","",IF(X18=0,0,W18/X18))</f>
        <v/>
      </c>
      <c r="Z18" s="74" t="str">
        <f t="shared" ref="Z18:AA40" si="17">IF($A18="","",SUM(T18,W18))</f>
        <v/>
      </c>
      <c r="AA18" s="62" t="str">
        <f t="shared" si="17"/>
        <v/>
      </c>
      <c r="AB18" s="324" t="str">
        <f t="shared" ref="AB18:AB40" si="18">IF($A18="","",IF(AA18=0,0,Z18/AA18))</f>
        <v/>
      </c>
      <c r="AC18" s="74" t="str">
        <f t="shared" si="4"/>
        <v/>
      </c>
      <c r="AD18" s="62" t="str">
        <f t="shared" si="5"/>
        <v/>
      </c>
      <c r="AE18" s="324" t="str">
        <f t="shared" ref="AE18:AE40" si="19">IF($A18="","",IF(AD18=0,0,AC18/AD18))</f>
        <v/>
      </c>
      <c r="AF18" s="69"/>
      <c r="AG18" s="61"/>
      <c r="AH18" s="324" t="str">
        <f t="shared" ref="AH18:AH40" si="20">IF($A18="","",IF(AG18=0,0,AF18/AG18))</f>
        <v/>
      </c>
      <c r="AI18" s="69"/>
      <c r="AJ18" s="61"/>
      <c r="AK18" s="324" t="str">
        <f t="shared" ref="AK18:AK40" si="21">IF($A18="","",IF(AJ18=0,0,AI18/AJ18))</f>
        <v/>
      </c>
      <c r="AL18" s="69"/>
      <c r="AM18" s="61"/>
      <c r="AN18" s="324" t="str">
        <f t="shared" ref="AN18:AN40" si="22">IF($A18="","",IF(AM18=0,0,AL18/AM18))</f>
        <v/>
      </c>
      <c r="AO18" s="74" t="str">
        <f t="shared" ref="AO18:AP40" si="23">IF($A18="","",SUM(AI18,AL18))</f>
        <v/>
      </c>
      <c r="AP18" s="62" t="str">
        <f t="shared" si="23"/>
        <v/>
      </c>
      <c r="AQ18" s="324" t="str">
        <f t="shared" ref="AQ18:AQ40" si="24">IF($A18="","",IF(AP18=0,0,AO18/AP18))</f>
        <v/>
      </c>
      <c r="AR18" s="74" t="str">
        <f t="shared" si="6"/>
        <v/>
      </c>
      <c r="AS18" s="62" t="str">
        <f t="shared" si="7"/>
        <v/>
      </c>
      <c r="AT18" s="324" t="str">
        <f t="shared" ref="AT18:AT40" si="25">IF($A18="","",IF(AS18=0,0,AR18/AS18))</f>
        <v/>
      </c>
    </row>
    <row r="19" spans="1:46" ht="18" customHeight="1">
      <c r="A19" s="77" t="str">
        <f>IF($C$9="Data Not Entered On Set-Up Worksheet","",IF(OR(VLOOKUP($C$9,County_Lookup,4,FALSE)="",VLOOKUP($C$9,County_Lookup,4,FALSE)=0),"",VLOOKUP($C$9,County_Lookup,4,FALSE)))</f>
        <v/>
      </c>
      <c r="B19" s="69"/>
      <c r="C19" s="61"/>
      <c r="D19" s="324" t="str">
        <f t="shared" si="8"/>
        <v/>
      </c>
      <c r="E19" s="69"/>
      <c r="F19" s="61"/>
      <c r="G19" s="324" t="str">
        <f t="shared" si="9"/>
        <v/>
      </c>
      <c r="H19" s="69"/>
      <c r="I19" s="61"/>
      <c r="J19" s="324" t="str">
        <f t="shared" si="10"/>
        <v/>
      </c>
      <c r="K19" s="74" t="str">
        <f t="shared" si="11"/>
        <v/>
      </c>
      <c r="L19" s="62" t="str">
        <f t="shared" si="11"/>
        <v/>
      </c>
      <c r="M19" s="324" t="str">
        <f t="shared" si="12"/>
        <v/>
      </c>
      <c r="N19" s="74" t="str">
        <f t="shared" si="2"/>
        <v/>
      </c>
      <c r="O19" s="62" t="str">
        <f t="shared" si="3"/>
        <v/>
      </c>
      <c r="P19" s="324" t="str">
        <f t="shared" si="13"/>
        <v/>
      </c>
      <c r="Q19" s="69"/>
      <c r="R19" s="61"/>
      <c r="S19" s="324" t="str">
        <f t="shared" si="14"/>
        <v/>
      </c>
      <c r="T19" s="69"/>
      <c r="U19" s="61"/>
      <c r="V19" s="324" t="str">
        <f t="shared" si="15"/>
        <v/>
      </c>
      <c r="W19" s="69"/>
      <c r="X19" s="61"/>
      <c r="Y19" s="324" t="str">
        <f t="shared" si="16"/>
        <v/>
      </c>
      <c r="Z19" s="74" t="str">
        <f t="shared" si="17"/>
        <v/>
      </c>
      <c r="AA19" s="62" t="str">
        <f t="shared" si="17"/>
        <v/>
      </c>
      <c r="AB19" s="324" t="str">
        <f t="shared" si="18"/>
        <v/>
      </c>
      <c r="AC19" s="74" t="str">
        <f t="shared" si="4"/>
        <v/>
      </c>
      <c r="AD19" s="62" t="str">
        <f t="shared" si="5"/>
        <v/>
      </c>
      <c r="AE19" s="324" t="str">
        <f t="shared" si="19"/>
        <v/>
      </c>
      <c r="AF19" s="69"/>
      <c r="AG19" s="61"/>
      <c r="AH19" s="324" t="str">
        <f t="shared" si="20"/>
        <v/>
      </c>
      <c r="AI19" s="69"/>
      <c r="AJ19" s="61"/>
      <c r="AK19" s="324" t="str">
        <f t="shared" si="21"/>
        <v/>
      </c>
      <c r="AL19" s="69"/>
      <c r="AM19" s="61"/>
      <c r="AN19" s="324" t="str">
        <f t="shared" si="22"/>
        <v/>
      </c>
      <c r="AO19" s="74" t="str">
        <f t="shared" si="23"/>
        <v/>
      </c>
      <c r="AP19" s="62" t="str">
        <f t="shared" si="23"/>
        <v/>
      </c>
      <c r="AQ19" s="324" t="str">
        <f t="shared" si="24"/>
        <v/>
      </c>
      <c r="AR19" s="74" t="str">
        <f t="shared" si="6"/>
        <v/>
      </c>
      <c r="AS19" s="62" t="str">
        <f t="shared" si="7"/>
        <v/>
      </c>
      <c r="AT19" s="324" t="str">
        <f t="shared" si="25"/>
        <v/>
      </c>
    </row>
    <row r="20" spans="1:46" ht="18" customHeight="1">
      <c r="A20" s="77" t="str">
        <f>IF($C$9="Data Not Entered On Set-Up Worksheet","",IF(OR(VLOOKUP($C$9,County_Lookup,5,FALSE)="",VLOOKUP($C$9,County_Lookup,5,FALSE)=0),"",VLOOKUP($C$9,County_Lookup,5,FALSE)))</f>
        <v/>
      </c>
      <c r="B20" s="69"/>
      <c r="C20" s="61"/>
      <c r="D20" s="324" t="str">
        <f t="shared" si="8"/>
        <v/>
      </c>
      <c r="E20" s="69"/>
      <c r="F20" s="61"/>
      <c r="G20" s="324" t="str">
        <f t="shared" si="9"/>
        <v/>
      </c>
      <c r="H20" s="69"/>
      <c r="I20" s="61"/>
      <c r="J20" s="324" t="str">
        <f t="shared" si="10"/>
        <v/>
      </c>
      <c r="K20" s="74" t="str">
        <f t="shared" si="11"/>
        <v/>
      </c>
      <c r="L20" s="62" t="str">
        <f t="shared" si="11"/>
        <v/>
      </c>
      <c r="M20" s="324" t="str">
        <f t="shared" si="12"/>
        <v/>
      </c>
      <c r="N20" s="74" t="str">
        <f t="shared" si="2"/>
        <v/>
      </c>
      <c r="O20" s="62" t="str">
        <f t="shared" si="3"/>
        <v/>
      </c>
      <c r="P20" s="324" t="str">
        <f t="shared" si="13"/>
        <v/>
      </c>
      <c r="Q20" s="69"/>
      <c r="R20" s="61"/>
      <c r="S20" s="324" t="str">
        <f t="shared" si="14"/>
        <v/>
      </c>
      <c r="T20" s="69"/>
      <c r="U20" s="61"/>
      <c r="V20" s="324" t="str">
        <f t="shared" si="15"/>
        <v/>
      </c>
      <c r="W20" s="69"/>
      <c r="X20" s="61"/>
      <c r="Y20" s="324" t="str">
        <f t="shared" si="16"/>
        <v/>
      </c>
      <c r="Z20" s="74" t="str">
        <f t="shared" si="17"/>
        <v/>
      </c>
      <c r="AA20" s="62" t="str">
        <f t="shared" si="17"/>
        <v/>
      </c>
      <c r="AB20" s="324" t="str">
        <f t="shared" si="18"/>
        <v/>
      </c>
      <c r="AC20" s="74" t="str">
        <f t="shared" si="4"/>
        <v/>
      </c>
      <c r="AD20" s="62" t="str">
        <f t="shared" si="5"/>
        <v/>
      </c>
      <c r="AE20" s="324" t="str">
        <f t="shared" si="19"/>
        <v/>
      </c>
      <c r="AF20" s="69"/>
      <c r="AG20" s="61"/>
      <c r="AH20" s="324" t="str">
        <f t="shared" si="20"/>
        <v/>
      </c>
      <c r="AI20" s="69"/>
      <c r="AJ20" s="61"/>
      <c r="AK20" s="324" t="str">
        <f t="shared" si="21"/>
        <v/>
      </c>
      <c r="AL20" s="69"/>
      <c r="AM20" s="61"/>
      <c r="AN20" s="324" t="str">
        <f t="shared" si="22"/>
        <v/>
      </c>
      <c r="AO20" s="74" t="str">
        <f t="shared" si="23"/>
        <v/>
      </c>
      <c r="AP20" s="62" t="str">
        <f t="shared" si="23"/>
        <v/>
      </c>
      <c r="AQ20" s="324" t="str">
        <f t="shared" si="24"/>
        <v/>
      </c>
      <c r="AR20" s="74" t="str">
        <f t="shared" si="6"/>
        <v/>
      </c>
      <c r="AS20" s="62" t="str">
        <f t="shared" si="7"/>
        <v/>
      </c>
      <c r="AT20" s="324" t="str">
        <f t="shared" si="25"/>
        <v/>
      </c>
    </row>
    <row r="21" spans="1:46" ht="18" customHeight="1">
      <c r="A21" s="77" t="str">
        <f>IF($C$9="Data Not Entered On Set-Up Worksheet","",IF(OR(VLOOKUP($C$9,County_Lookup,6,FALSE)="",VLOOKUP($C$9,County_Lookup,6,FALSE)=0),"",VLOOKUP($C$9,County_Lookup,6,FALSE)))</f>
        <v/>
      </c>
      <c r="B21" s="69"/>
      <c r="C21" s="61"/>
      <c r="D21" s="324" t="str">
        <f t="shared" si="8"/>
        <v/>
      </c>
      <c r="E21" s="69"/>
      <c r="F21" s="61"/>
      <c r="G21" s="324" t="str">
        <f t="shared" si="9"/>
        <v/>
      </c>
      <c r="H21" s="69"/>
      <c r="I21" s="61"/>
      <c r="J21" s="324" t="str">
        <f t="shared" si="10"/>
        <v/>
      </c>
      <c r="K21" s="74" t="str">
        <f t="shared" si="11"/>
        <v/>
      </c>
      <c r="L21" s="62" t="str">
        <f t="shared" si="11"/>
        <v/>
      </c>
      <c r="M21" s="324" t="str">
        <f t="shared" si="12"/>
        <v/>
      </c>
      <c r="N21" s="74" t="str">
        <f t="shared" si="2"/>
        <v/>
      </c>
      <c r="O21" s="62" t="str">
        <f t="shared" si="3"/>
        <v/>
      </c>
      <c r="P21" s="324" t="str">
        <f t="shared" si="13"/>
        <v/>
      </c>
      <c r="Q21" s="69"/>
      <c r="R21" s="61"/>
      <c r="S21" s="324" t="str">
        <f t="shared" si="14"/>
        <v/>
      </c>
      <c r="T21" s="69"/>
      <c r="U21" s="61"/>
      <c r="V21" s="324" t="str">
        <f t="shared" si="15"/>
        <v/>
      </c>
      <c r="W21" s="69"/>
      <c r="X21" s="61"/>
      <c r="Y21" s="324" t="str">
        <f t="shared" si="16"/>
        <v/>
      </c>
      <c r="Z21" s="74" t="str">
        <f t="shared" si="17"/>
        <v/>
      </c>
      <c r="AA21" s="62" t="str">
        <f t="shared" si="17"/>
        <v/>
      </c>
      <c r="AB21" s="324" t="str">
        <f t="shared" si="18"/>
        <v/>
      </c>
      <c r="AC21" s="74" t="str">
        <f t="shared" si="4"/>
        <v/>
      </c>
      <c r="AD21" s="62" t="str">
        <f t="shared" si="5"/>
        <v/>
      </c>
      <c r="AE21" s="324" t="str">
        <f t="shared" si="19"/>
        <v/>
      </c>
      <c r="AF21" s="69"/>
      <c r="AG21" s="61"/>
      <c r="AH21" s="324" t="str">
        <f t="shared" si="20"/>
        <v/>
      </c>
      <c r="AI21" s="69"/>
      <c r="AJ21" s="61"/>
      <c r="AK21" s="324" t="str">
        <f t="shared" si="21"/>
        <v/>
      </c>
      <c r="AL21" s="69"/>
      <c r="AM21" s="61"/>
      <c r="AN21" s="324" t="str">
        <f t="shared" si="22"/>
        <v/>
      </c>
      <c r="AO21" s="74" t="str">
        <f t="shared" si="23"/>
        <v/>
      </c>
      <c r="AP21" s="62" t="str">
        <f t="shared" si="23"/>
        <v/>
      </c>
      <c r="AQ21" s="324" t="str">
        <f t="shared" si="24"/>
        <v/>
      </c>
      <c r="AR21" s="74" t="str">
        <f t="shared" si="6"/>
        <v/>
      </c>
      <c r="AS21" s="62" t="str">
        <f t="shared" si="7"/>
        <v/>
      </c>
      <c r="AT21" s="324" t="str">
        <f t="shared" si="25"/>
        <v/>
      </c>
    </row>
    <row r="22" spans="1:46" ht="18" customHeight="1">
      <c r="A22" s="77" t="str">
        <f>IF($C$9="Data Not Entered On Set-Up Worksheet","",IF(OR(VLOOKUP($C$9,County_Lookup,7,FALSE)="",VLOOKUP($C$9,County_Lookup,7,FALSE)=0),"",VLOOKUP($C$9,County_Lookup,7,FALSE)))</f>
        <v/>
      </c>
      <c r="B22" s="69"/>
      <c r="C22" s="61"/>
      <c r="D22" s="324" t="str">
        <f t="shared" si="8"/>
        <v/>
      </c>
      <c r="E22" s="69"/>
      <c r="F22" s="61"/>
      <c r="G22" s="324" t="str">
        <f t="shared" si="9"/>
        <v/>
      </c>
      <c r="H22" s="69"/>
      <c r="I22" s="61"/>
      <c r="J22" s="324" t="str">
        <f t="shared" si="10"/>
        <v/>
      </c>
      <c r="K22" s="74" t="str">
        <f t="shared" si="11"/>
        <v/>
      </c>
      <c r="L22" s="62" t="str">
        <f t="shared" si="11"/>
        <v/>
      </c>
      <c r="M22" s="324" t="str">
        <f t="shared" si="12"/>
        <v/>
      </c>
      <c r="N22" s="74" t="str">
        <f t="shared" si="2"/>
        <v/>
      </c>
      <c r="O22" s="62" t="str">
        <f t="shared" si="3"/>
        <v/>
      </c>
      <c r="P22" s="324" t="str">
        <f t="shared" si="13"/>
        <v/>
      </c>
      <c r="Q22" s="69"/>
      <c r="R22" s="61"/>
      <c r="S22" s="324" t="str">
        <f t="shared" si="14"/>
        <v/>
      </c>
      <c r="T22" s="69"/>
      <c r="U22" s="61"/>
      <c r="V22" s="324" t="str">
        <f t="shared" si="15"/>
        <v/>
      </c>
      <c r="W22" s="69"/>
      <c r="X22" s="61"/>
      <c r="Y22" s="324" t="str">
        <f t="shared" si="16"/>
        <v/>
      </c>
      <c r="Z22" s="74" t="str">
        <f t="shared" si="17"/>
        <v/>
      </c>
      <c r="AA22" s="62" t="str">
        <f t="shared" si="17"/>
        <v/>
      </c>
      <c r="AB22" s="324" t="str">
        <f t="shared" si="18"/>
        <v/>
      </c>
      <c r="AC22" s="74" t="str">
        <f t="shared" si="4"/>
        <v/>
      </c>
      <c r="AD22" s="62" t="str">
        <f t="shared" si="5"/>
        <v/>
      </c>
      <c r="AE22" s="324" t="str">
        <f t="shared" si="19"/>
        <v/>
      </c>
      <c r="AF22" s="69"/>
      <c r="AG22" s="61"/>
      <c r="AH22" s="324" t="str">
        <f t="shared" si="20"/>
        <v/>
      </c>
      <c r="AI22" s="69"/>
      <c r="AJ22" s="61"/>
      <c r="AK22" s="324" t="str">
        <f t="shared" si="21"/>
        <v/>
      </c>
      <c r="AL22" s="69"/>
      <c r="AM22" s="61"/>
      <c r="AN22" s="324" t="str">
        <f t="shared" si="22"/>
        <v/>
      </c>
      <c r="AO22" s="74" t="str">
        <f t="shared" si="23"/>
        <v/>
      </c>
      <c r="AP22" s="62" t="str">
        <f t="shared" si="23"/>
        <v/>
      </c>
      <c r="AQ22" s="324" t="str">
        <f t="shared" si="24"/>
        <v/>
      </c>
      <c r="AR22" s="74" t="str">
        <f t="shared" si="6"/>
        <v/>
      </c>
      <c r="AS22" s="62" t="str">
        <f t="shared" si="7"/>
        <v/>
      </c>
      <c r="AT22" s="324" t="str">
        <f t="shared" si="25"/>
        <v/>
      </c>
    </row>
    <row r="23" spans="1:46" ht="18" customHeight="1">
      <c r="A23" s="76" t="str">
        <f>IF($C$9="Data Not Entered On Set-Up Worksheet","",IF(OR(VLOOKUP($C$9,County_Lookup,8,FALSE)="",VLOOKUP($C$9,County_Lookup,8,FALSE)=0),"",VLOOKUP($C$9,County_Lookup,8,FALSE)))</f>
        <v/>
      </c>
      <c r="B23" s="69"/>
      <c r="C23" s="61"/>
      <c r="D23" s="324" t="str">
        <f t="shared" si="8"/>
        <v/>
      </c>
      <c r="E23" s="69"/>
      <c r="F23" s="61"/>
      <c r="G23" s="324" t="str">
        <f t="shared" si="9"/>
        <v/>
      </c>
      <c r="H23" s="69"/>
      <c r="I23" s="61"/>
      <c r="J23" s="324" t="str">
        <f t="shared" si="10"/>
        <v/>
      </c>
      <c r="K23" s="74" t="str">
        <f t="shared" si="11"/>
        <v/>
      </c>
      <c r="L23" s="62" t="str">
        <f t="shared" si="11"/>
        <v/>
      </c>
      <c r="M23" s="324" t="str">
        <f t="shared" si="12"/>
        <v/>
      </c>
      <c r="N23" s="74" t="str">
        <f t="shared" si="2"/>
        <v/>
      </c>
      <c r="O23" s="62" t="str">
        <f t="shared" si="3"/>
        <v/>
      </c>
      <c r="P23" s="324" t="str">
        <f t="shared" si="13"/>
        <v/>
      </c>
      <c r="Q23" s="69"/>
      <c r="R23" s="61"/>
      <c r="S23" s="324" t="str">
        <f t="shared" si="14"/>
        <v/>
      </c>
      <c r="T23" s="69"/>
      <c r="U23" s="61"/>
      <c r="V23" s="324" t="str">
        <f t="shared" si="15"/>
        <v/>
      </c>
      <c r="W23" s="69"/>
      <c r="X23" s="61"/>
      <c r="Y23" s="324" t="str">
        <f t="shared" si="16"/>
        <v/>
      </c>
      <c r="Z23" s="74" t="str">
        <f t="shared" si="17"/>
        <v/>
      </c>
      <c r="AA23" s="62" t="str">
        <f t="shared" si="17"/>
        <v/>
      </c>
      <c r="AB23" s="324" t="str">
        <f t="shared" si="18"/>
        <v/>
      </c>
      <c r="AC23" s="74" t="str">
        <f t="shared" si="4"/>
        <v/>
      </c>
      <c r="AD23" s="62" t="str">
        <f t="shared" si="5"/>
        <v/>
      </c>
      <c r="AE23" s="324" t="str">
        <f t="shared" si="19"/>
        <v/>
      </c>
      <c r="AF23" s="69"/>
      <c r="AG23" s="61"/>
      <c r="AH23" s="324" t="str">
        <f t="shared" si="20"/>
        <v/>
      </c>
      <c r="AI23" s="69"/>
      <c r="AJ23" s="61"/>
      <c r="AK23" s="324" t="str">
        <f t="shared" si="21"/>
        <v/>
      </c>
      <c r="AL23" s="69"/>
      <c r="AM23" s="61"/>
      <c r="AN23" s="324" t="str">
        <f t="shared" si="22"/>
        <v/>
      </c>
      <c r="AO23" s="74" t="str">
        <f t="shared" si="23"/>
        <v/>
      </c>
      <c r="AP23" s="62" t="str">
        <f t="shared" si="23"/>
        <v/>
      </c>
      <c r="AQ23" s="324" t="str">
        <f t="shared" si="24"/>
        <v/>
      </c>
      <c r="AR23" s="74" t="str">
        <f t="shared" si="6"/>
        <v/>
      </c>
      <c r="AS23" s="62" t="str">
        <f t="shared" si="7"/>
        <v/>
      </c>
      <c r="AT23" s="324" t="str">
        <f t="shared" si="25"/>
        <v/>
      </c>
    </row>
    <row r="24" spans="1:46" ht="18" customHeight="1">
      <c r="A24" s="77" t="str">
        <f>IF($C$9="Data Not Entered On Set-Up Worksheet","",IF(OR(VLOOKUP($C$9,County_Lookup,9,FALSE)="",VLOOKUP($C$9,County_Lookup,9,FALSE)=0),"",VLOOKUP($C$9,County_Lookup,9,FALSE)))</f>
        <v/>
      </c>
      <c r="B24" s="69"/>
      <c r="C24" s="61"/>
      <c r="D24" s="324" t="str">
        <f t="shared" si="8"/>
        <v/>
      </c>
      <c r="E24" s="69"/>
      <c r="F24" s="61"/>
      <c r="G24" s="324" t="str">
        <f t="shared" si="9"/>
        <v/>
      </c>
      <c r="H24" s="69"/>
      <c r="I24" s="61"/>
      <c r="J24" s="324" t="str">
        <f t="shared" si="10"/>
        <v/>
      </c>
      <c r="K24" s="74" t="str">
        <f t="shared" si="11"/>
        <v/>
      </c>
      <c r="L24" s="62" t="str">
        <f t="shared" si="11"/>
        <v/>
      </c>
      <c r="M24" s="324" t="str">
        <f t="shared" si="12"/>
        <v/>
      </c>
      <c r="N24" s="74" t="str">
        <f t="shared" si="2"/>
        <v/>
      </c>
      <c r="O24" s="62" t="str">
        <f t="shared" si="3"/>
        <v/>
      </c>
      <c r="P24" s="324" t="str">
        <f t="shared" si="13"/>
        <v/>
      </c>
      <c r="Q24" s="69"/>
      <c r="R24" s="61"/>
      <c r="S24" s="324" t="str">
        <f t="shared" si="14"/>
        <v/>
      </c>
      <c r="T24" s="69"/>
      <c r="U24" s="61"/>
      <c r="V24" s="324" t="str">
        <f t="shared" si="15"/>
        <v/>
      </c>
      <c r="W24" s="69"/>
      <c r="X24" s="61"/>
      <c r="Y24" s="324" t="str">
        <f t="shared" si="16"/>
        <v/>
      </c>
      <c r="Z24" s="74" t="str">
        <f t="shared" si="17"/>
        <v/>
      </c>
      <c r="AA24" s="62" t="str">
        <f t="shared" si="17"/>
        <v/>
      </c>
      <c r="AB24" s="324" t="str">
        <f t="shared" si="18"/>
        <v/>
      </c>
      <c r="AC24" s="74" t="str">
        <f t="shared" si="4"/>
        <v/>
      </c>
      <c r="AD24" s="62" t="str">
        <f t="shared" si="5"/>
        <v/>
      </c>
      <c r="AE24" s="324" t="str">
        <f t="shared" si="19"/>
        <v/>
      </c>
      <c r="AF24" s="69"/>
      <c r="AG24" s="61"/>
      <c r="AH24" s="324" t="str">
        <f t="shared" si="20"/>
        <v/>
      </c>
      <c r="AI24" s="69"/>
      <c r="AJ24" s="61"/>
      <c r="AK24" s="324" t="str">
        <f t="shared" si="21"/>
        <v/>
      </c>
      <c r="AL24" s="69"/>
      <c r="AM24" s="61"/>
      <c r="AN24" s="324" t="str">
        <f t="shared" si="22"/>
        <v/>
      </c>
      <c r="AO24" s="74" t="str">
        <f t="shared" si="23"/>
        <v/>
      </c>
      <c r="AP24" s="62" t="str">
        <f t="shared" si="23"/>
        <v/>
      </c>
      <c r="AQ24" s="324" t="str">
        <f t="shared" si="24"/>
        <v/>
      </c>
      <c r="AR24" s="74" t="str">
        <f t="shared" si="6"/>
        <v/>
      </c>
      <c r="AS24" s="62" t="str">
        <f t="shared" si="7"/>
        <v/>
      </c>
      <c r="AT24" s="324" t="str">
        <f t="shared" si="25"/>
        <v/>
      </c>
    </row>
    <row r="25" spans="1:46" ht="18" customHeight="1">
      <c r="A25" s="77" t="str">
        <f>IF($C$9="Data Not Entered On Set-Up Worksheet","",IF(OR(VLOOKUP($C$9,County_Lookup,10,FALSE)="",VLOOKUP($C$9,County_Lookup,10,FALSE)=0),"",VLOOKUP($C$9,County_Lookup,10,FALSE)))</f>
        <v/>
      </c>
      <c r="B25" s="69"/>
      <c r="C25" s="61"/>
      <c r="D25" s="324" t="str">
        <f t="shared" si="8"/>
        <v/>
      </c>
      <c r="E25" s="69"/>
      <c r="F25" s="61"/>
      <c r="G25" s="324" t="str">
        <f t="shared" si="9"/>
        <v/>
      </c>
      <c r="H25" s="69"/>
      <c r="I25" s="61"/>
      <c r="J25" s="324" t="str">
        <f t="shared" si="10"/>
        <v/>
      </c>
      <c r="K25" s="74" t="str">
        <f t="shared" si="11"/>
        <v/>
      </c>
      <c r="L25" s="62" t="str">
        <f t="shared" si="11"/>
        <v/>
      </c>
      <c r="M25" s="324" t="str">
        <f t="shared" si="12"/>
        <v/>
      </c>
      <c r="N25" s="74" t="str">
        <f t="shared" si="2"/>
        <v/>
      </c>
      <c r="O25" s="62" t="str">
        <f t="shared" si="3"/>
        <v/>
      </c>
      <c r="P25" s="324" t="str">
        <f t="shared" si="13"/>
        <v/>
      </c>
      <c r="Q25" s="69"/>
      <c r="R25" s="61"/>
      <c r="S25" s="324" t="str">
        <f t="shared" si="14"/>
        <v/>
      </c>
      <c r="T25" s="69"/>
      <c r="U25" s="61"/>
      <c r="V25" s="324" t="str">
        <f t="shared" si="15"/>
        <v/>
      </c>
      <c r="W25" s="69"/>
      <c r="X25" s="61"/>
      <c r="Y25" s="324" t="str">
        <f t="shared" si="16"/>
        <v/>
      </c>
      <c r="Z25" s="74" t="str">
        <f t="shared" si="17"/>
        <v/>
      </c>
      <c r="AA25" s="62" t="str">
        <f t="shared" si="17"/>
        <v/>
      </c>
      <c r="AB25" s="324" t="str">
        <f t="shared" si="18"/>
        <v/>
      </c>
      <c r="AC25" s="74" t="str">
        <f t="shared" si="4"/>
        <v/>
      </c>
      <c r="AD25" s="62" t="str">
        <f t="shared" si="5"/>
        <v/>
      </c>
      <c r="AE25" s="324" t="str">
        <f t="shared" si="19"/>
        <v/>
      </c>
      <c r="AF25" s="69"/>
      <c r="AG25" s="61"/>
      <c r="AH25" s="324" t="str">
        <f t="shared" si="20"/>
        <v/>
      </c>
      <c r="AI25" s="69"/>
      <c r="AJ25" s="61"/>
      <c r="AK25" s="324" t="str">
        <f t="shared" si="21"/>
        <v/>
      </c>
      <c r="AL25" s="69"/>
      <c r="AM25" s="61"/>
      <c r="AN25" s="324" t="str">
        <f t="shared" si="22"/>
        <v/>
      </c>
      <c r="AO25" s="74" t="str">
        <f t="shared" si="23"/>
        <v/>
      </c>
      <c r="AP25" s="62" t="str">
        <f t="shared" si="23"/>
        <v/>
      </c>
      <c r="AQ25" s="324" t="str">
        <f t="shared" si="24"/>
        <v/>
      </c>
      <c r="AR25" s="74" t="str">
        <f t="shared" si="6"/>
        <v/>
      </c>
      <c r="AS25" s="62" t="str">
        <f t="shared" si="7"/>
        <v/>
      </c>
      <c r="AT25" s="324" t="str">
        <f t="shared" si="25"/>
        <v/>
      </c>
    </row>
    <row r="26" spans="1:46" ht="18" customHeight="1">
      <c r="A26" s="77" t="str">
        <f>IF($C$9="Data Not Entered On Set-Up Worksheet","",IF(OR(VLOOKUP($C$9,County_Lookup,11,FALSE)="",VLOOKUP($C$9,County_Lookup,11,FALSE)=0),"",VLOOKUP($C$9,County_Lookup,11,FALSE)))</f>
        <v/>
      </c>
      <c r="B26" s="69"/>
      <c r="C26" s="61"/>
      <c r="D26" s="324" t="str">
        <f t="shared" si="8"/>
        <v/>
      </c>
      <c r="E26" s="69"/>
      <c r="F26" s="61"/>
      <c r="G26" s="324" t="str">
        <f t="shared" si="9"/>
        <v/>
      </c>
      <c r="H26" s="69"/>
      <c r="I26" s="61"/>
      <c r="J26" s="324" t="str">
        <f t="shared" si="10"/>
        <v/>
      </c>
      <c r="K26" s="74" t="str">
        <f t="shared" si="11"/>
        <v/>
      </c>
      <c r="L26" s="62" t="str">
        <f t="shared" si="11"/>
        <v/>
      </c>
      <c r="M26" s="324" t="str">
        <f t="shared" si="12"/>
        <v/>
      </c>
      <c r="N26" s="74" t="str">
        <f t="shared" si="2"/>
        <v/>
      </c>
      <c r="O26" s="62" t="str">
        <f t="shared" si="3"/>
        <v/>
      </c>
      <c r="P26" s="324" t="str">
        <f t="shared" si="13"/>
        <v/>
      </c>
      <c r="Q26" s="69"/>
      <c r="R26" s="61"/>
      <c r="S26" s="324" t="str">
        <f t="shared" si="14"/>
        <v/>
      </c>
      <c r="T26" s="69"/>
      <c r="U26" s="61"/>
      <c r="V26" s="324" t="str">
        <f t="shared" si="15"/>
        <v/>
      </c>
      <c r="W26" s="69"/>
      <c r="X26" s="61"/>
      <c r="Y26" s="324" t="str">
        <f t="shared" si="16"/>
        <v/>
      </c>
      <c r="Z26" s="74" t="str">
        <f t="shared" si="17"/>
        <v/>
      </c>
      <c r="AA26" s="62" t="str">
        <f t="shared" si="17"/>
        <v/>
      </c>
      <c r="AB26" s="324" t="str">
        <f t="shared" si="18"/>
        <v/>
      </c>
      <c r="AC26" s="74" t="str">
        <f t="shared" si="4"/>
        <v/>
      </c>
      <c r="AD26" s="62" t="str">
        <f t="shared" si="5"/>
        <v/>
      </c>
      <c r="AE26" s="324" t="str">
        <f t="shared" si="19"/>
        <v/>
      </c>
      <c r="AF26" s="69"/>
      <c r="AG26" s="61"/>
      <c r="AH26" s="324" t="str">
        <f t="shared" si="20"/>
        <v/>
      </c>
      <c r="AI26" s="69"/>
      <c r="AJ26" s="61"/>
      <c r="AK26" s="324" t="str">
        <f t="shared" si="21"/>
        <v/>
      </c>
      <c r="AL26" s="69"/>
      <c r="AM26" s="61"/>
      <c r="AN26" s="324" t="str">
        <f t="shared" si="22"/>
        <v/>
      </c>
      <c r="AO26" s="74" t="str">
        <f t="shared" si="23"/>
        <v/>
      </c>
      <c r="AP26" s="62" t="str">
        <f t="shared" si="23"/>
        <v/>
      </c>
      <c r="AQ26" s="324" t="str">
        <f t="shared" si="24"/>
        <v/>
      </c>
      <c r="AR26" s="74" t="str">
        <f t="shared" si="6"/>
        <v/>
      </c>
      <c r="AS26" s="62" t="str">
        <f t="shared" si="7"/>
        <v/>
      </c>
      <c r="AT26" s="324" t="str">
        <f t="shared" si="25"/>
        <v/>
      </c>
    </row>
    <row r="27" spans="1:46" ht="18" customHeight="1">
      <c r="A27" s="77" t="str">
        <f>IF($C$9="Data Not Entered On Set-Up Worksheet","",IF(OR(VLOOKUP($C$9,County_Lookup,12,FALSE)="",VLOOKUP($C$9,County_Lookup,12,FALSE)=0),"",VLOOKUP($C$9,County_Lookup,12,FALSE)))</f>
        <v/>
      </c>
      <c r="B27" s="69"/>
      <c r="C27" s="61"/>
      <c r="D27" s="324" t="str">
        <f t="shared" si="8"/>
        <v/>
      </c>
      <c r="E27" s="69"/>
      <c r="F27" s="61"/>
      <c r="G27" s="324" t="str">
        <f t="shared" si="9"/>
        <v/>
      </c>
      <c r="H27" s="69"/>
      <c r="I27" s="61"/>
      <c r="J27" s="324" t="str">
        <f t="shared" si="10"/>
        <v/>
      </c>
      <c r="K27" s="74" t="str">
        <f t="shared" si="11"/>
        <v/>
      </c>
      <c r="L27" s="62" t="str">
        <f t="shared" si="11"/>
        <v/>
      </c>
      <c r="M27" s="324" t="str">
        <f t="shared" si="12"/>
        <v/>
      </c>
      <c r="N27" s="74" t="str">
        <f t="shared" si="2"/>
        <v/>
      </c>
      <c r="O27" s="62" t="str">
        <f t="shared" si="3"/>
        <v/>
      </c>
      <c r="P27" s="324" t="str">
        <f t="shared" si="13"/>
        <v/>
      </c>
      <c r="Q27" s="69"/>
      <c r="R27" s="61"/>
      <c r="S27" s="324" t="str">
        <f t="shared" si="14"/>
        <v/>
      </c>
      <c r="T27" s="69"/>
      <c r="U27" s="61"/>
      <c r="V27" s="324" t="str">
        <f t="shared" si="15"/>
        <v/>
      </c>
      <c r="W27" s="69"/>
      <c r="X27" s="61"/>
      <c r="Y27" s="324" t="str">
        <f t="shared" si="16"/>
        <v/>
      </c>
      <c r="Z27" s="74" t="str">
        <f t="shared" si="17"/>
        <v/>
      </c>
      <c r="AA27" s="62" t="str">
        <f t="shared" si="17"/>
        <v/>
      </c>
      <c r="AB27" s="324" t="str">
        <f t="shared" si="18"/>
        <v/>
      </c>
      <c r="AC27" s="74" t="str">
        <f t="shared" si="4"/>
        <v/>
      </c>
      <c r="AD27" s="62" t="str">
        <f t="shared" si="5"/>
        <v/>
      </c>
      <c r="AE27" s="324" t="str">
        <f t="shared" si="19"/>
        <v/>
      </c>
      <c r="AF27" s="69"/>
      <c r="AG27" s="61"/>
      <c r="AH27" s="324" t="str">
        <f t="shared" si="20"/>
        <v/>
      </c>
      <c r="AI27" s="69"/>
      <c r="AJ27" s="61"/>
      <c r="AK27" s="324" t="str">
        <f t="shared" si="21"/>
        <v/>
      </c>
      <c r="AL27" s="69"/>
      <c r="AM27" s="61"/>
      <c r="AN27" s="324" t="str">
        <f t="shared" si="22"/>
        <v/>
      </c>
      <c r="AO27" s="74" t="str">
        <f t="shared" si="23"/>
        <v/>
      </c>
      <c r="AP27" s="62" t="str">
        <f t="shared" si="23"/>
        <v/>
      </c>
      <c r="AQ27" s="324" t="str">
        <f t="shared" si="24"/>
        <v/>
      </c>
      <c r="AR27" s="74" t="str">
        <f t="shared" si="6"/>
        <v/>
      </c>
      <c r="AS27" s="62" t="str">
        <f t="shared" si="7"/>
        <v/>
      </c>
      <c r="AT27" s="324" t="str">
        <f t="shared" si="25"/>
        <v/>
      </c>
    </row>
    <row r="28" spans="1:46" ht="18" customHeight="1">
      <c r="A28" s="77" t="str">
        <f>IF($C$9="Data Not Entered On Set-Up Worksheet","",IF(OR(VLOOKUP($C$9,County_Lookup,13,FALSE)="",VLOOKUP($C$9,County_Lookup,13,FALSE)=0),"",VLOOKUP($C$9,County_Lookup,13,FALSE)))</f>
        <v/>
      </c>
      <c r="B28" s="69"/>
      <c r="C28" s="61"/>
      <c r="D28" s="324" t="str">
        <f t="shared" si="8"/>
        <v/>
      </c>
      <c r="E28" s="69"/>
      <c r="F28" s="61"/>
      <c r="G28" s="324" t="str">
        <f t="shared" si="9"/>
        <v/>
      </c>
      <c r="H28" s="69"/>
      <c r="I28" s="61"/>
      <c r="J28" s="324" t="str">
        <f t="shared" si="10"/>
        <v/>
      </c>
      <c r="K28" s="74" t="str">
        <f t="shared" si="11"/>
        <v/>
      </c>
      <c r="L28" s="62" t="str">
        <f t="shared" si="11"/>
        <v/>
      </c>
      <c r="M28" s="324" t="str">
        <f t="shared" si="12"/>
        <v/>
      </c>
      <c r="N28" s="74" t="str">
        <f t="shared" si="2"/>
        <v/>
      </c>
      <c r="O28" s="62" t="str">
        <f t="shared" si="3"/>
        <v/>
      </c>
      <c r="P28" s="324" t="str">
        <f t="shared" si="13"/>
        <v/>
      </c>
      <c r="Q28" s="69"/>
      <c r="R28" s="61"/>
      <c r="S28" s="324" t="str">
        <f t="shared" si="14"/>
        <v/>
      </c>
      <c r="T28" s="69"/>
      <c r="U28" s="61"/>
      <c r="V28" s="324" t="str">
        <f t="shared" si="15"/>
        <v/>
      </c>
      <c r="W28" s="69"/>
      <c r="X28" s="61"/>
      <c r="Y28" s="324" t="str">
        <f t="shared" si="16"/>
        <v/>
      </c>
      <c r="Z28" s="74" t="str">
        <f t="shared" si="17"/>
        <v/>
      </c>
      <c r="AA28" s="62" t="str">
        <f t="shared" si="17"/>
        <v/>
      </c>
      <c r="AB28" s="324" t="str">
        <f t="shared" si="18"/>
        <v/>
      </c>
      <c r="AC28" s="74" t="str">
        <f t="shared" si="4"/>
        <v/>
      </c>
      <c r="AD28" s="62" t="str">
        <f t="shared" si="5"/>
        <v/>
      </c>
      <c r="AE28" s="324" t="str">
        <f t="shared" si="19"/>
        <v/>
      </c>
      <c r="AF28" s="69"/>
      <c r="AG28" s="61"/>
      <c r="AH28" s="324" t="str">
        <f t="shared" si="20"/>
        <v/>
      </c>
      <c r="AI28" s="69"/>
      <c r="AJ28" s="61"/>
      <c r="AK28" s="324" t="str">
        <f t="shared" si="21"/>
        <v/>
      </c>
      <c r="AL28" s="69"/>
      <c r="AM28" s="61"/>
      <c r="AN28" s="324" t="str">
        <f t="shared" si="22"/>
        <v/>
      </c>
      <c r="AO28" s="74" t="str">
        <f t="shared" si="23"/>
        <v/>
      </c>
      <c r="AP28" s="62" t="str">
        <f t="shared" si="23"/>
        <v/>
      </c>
      <c r="AQ28" s="324" t="str">
        <f t="shared" si="24"/>
        <v/>
      </c>
      <c r="AR28" s="74" t="str">
        <f t="shared" si="6"/>
        <v/>
      </c>
      <c r="AS28" s="62" t="str">
        <f t="shared" si="7"/>
        <v/>
      </c>
      <c r="AT28" s="324" t="str">
        <f t="shared" si="25"/>
        <v/>
      </c>
    </row>
    <row r="29" spans="1:46" ht="18" customHeight="1">
      <c r="A29" s="77" t="str">
        <f>IF($C$9="Data Not Entered On Set-Up Worksheet","",IF(OR(VLOOKUP($C$9,County_Lookup,14,FALSE)="",VLOOKUP($C$9,County_Lookup,14,FALSE)=0),"",VLOOKUP($C$9,County_Lookup,14,FALSE)))</f>
        <v/>
      </c>
      <c r="B29" s="69"/>
      <c r="C29" s="61"/>
      <c r="D29" s="324" t="str">
        <f t="shared" si="8"/>
        <v/>
      </c>
      <c r="E29" s="69"/>
      <c r="F29" s="61"/>
      <c r="G29" s="324" t="str">
        <f t="shared" si="9"/>
        <v/>
      </c>
      <c r="H29" s="69"/>
      <c r="I29" s="61"/>
      <c r="J29" s="324" t="str">
        <f t="shared" si="10"/>
        <v/>
      </c>
      <c r="K29" s="74" t="str">
        <f t="shared" si="11"/>
        <v/>
      </c>
      <c r="L29" s="62" t="str">
        <f t="shared" si="11"/>
        <v/>
      </c>
      <c r="M29" s="324" t="str">
        <f t="shared" si="12"/>
        <v/>
      </c>
      <c r="N29" s="74" t="str">
        <f t="shared" si="2"/>
        <v/>
      </c>
      <c r="O29" s="62" t="str">
        <f t="shared" si="3"/>
        <v/>
      </c>
      <c r="P29" s="324" t="str">
        <f t="shared" si="13"/>
        <v/>
      </c>
      <c r="Q29" s="69"/>
      <c r="R29" s="61"/>
      <c r="S29" s="324" t="str">
        <f t="shared" si="14"/>
        <v/>
      </c>
      <c r="T29" s="69"/>
      <c r="U29" s="61"/>
      <c r="V29" s="324" t="str">
        <f t="shared" si="15"/>
        <v/>
      </c>
      <c r="W29" s="69"/>
      <c r="X29" s="61"/>
      <c r="Y29" s="324" t="str">
        <f t="shared" si="16"/>
        <v/>
      </c>
      <c r="Z29" s="74" t="str">
        <f t="shared" si="17"/>
        <v/>
      </c>
      <c r="AA29" s="62" t="str">
        <f t="shared" si="17"/>
        <v/>
      </c>
      <c r="AB29" s="324" t="str">
        <f t="shared" si="18"/>
        <v/>
      </c>
      <c r="AC29" s="74" t="str">
        <f t="shared" si="4"/>
        <v/>
      </c>
      <c r="AD29" s="62" t="str">
        <f t="shared" si="5"/>
        <v/>
      </c>
      <c r="AE29" s="324" t="str">
        <f t="shared" si="19"/>
        <v/>
      </c>
      <c r="AF29" s="69"/>
      <c r="AG29" s="61"/>
      <c r="AH29" s="324" t="str">
        <f t="shared" si="20"/>
        <v/>
      </c>
      <c r="AI29" s="69"/>
      <c r="AJ29" s="61"/>
      <c r="AK29" s="324" t="str">
        <f t="shared" si="21"/>
        <v/>
      </c>
      <c r="AL29" s="69"/>
      <c r="AM29" s="61"/>
      <c r="AN29" s="324" t="str">
        <f t="shared" si="22"/>
        <v/>
      </c>
      <c r="AO29" s="74" t="str">
        <f t="shared" si="23"/>
        <v/>
      </c>
      <c r="AP29" s="62" t="str">
        <f t="shared" si="23"/>
        <v/>
      </c>
      <c r="AQ29" s="324" t="str">
        <f t="shared" si="24"/>
        <v/>
      </c>
      <c r="AR29" s="74" t="str">
        <f t="shared" si="6"/>
        <v/>
      </c>
      <c r="AS29" s="62" t="str">
        <f t="shared" si="7"/>
        <v/>
      </c>
      <c r="AT29" s="324" t="str">
        <f t="shared" si="25"/>
        <v/>
      </c>
    </row>
    <row r="30" spans="1:46" ht="18" customHeight="1">
      <c r="A30" s="76" t="str">
        <f>IF($C$9="Data Not Entered On Set-Up Worksheet","",IF(OR(VLOOKUP($C$9,County_Lookup,15,FALSE)="",VLOOKUP($C$9,County_Lookup,15,FALSE)=0),"",VLOOKUP($C$9,County_Lookup,15,FALSE)))</f>
        <v/>
      </c>
      <c r="B30" s="69"/>
      <c r="C30" s="61"/>
      <c r="D30" s="324" t="str">
        <f t="shared" si="8"/>
        <v/>
      </c>
      <c r="E30" s="69"/>
      <c r="F30" s="61"/>
      <c r="G30" s="324" t="str">
        <f t="shared" si="9"/>
        <v/>
      </c>
      <c r="H30" s="69"/>
      <c r="I30" s="61"/>
      <c r="J30" s="324" t="str">
        <f t="shared" si="10"/>
        <v/>
      </c>
      <c r="K30" s="74" t="str">
        <f t="shared" si="11"/>
        <v/>
      </c>
      <c r="L30" s="62" t="str">
        <f t="shared" si="11"/>
        <v/>
      </c>
      <c r="M30" s="324" t="str">
        <f t="shared" si="12"/>
        <v/>
      </c>
      <c r="N30" s="74" t="str">
        <f t="shared" si="2"/>
        <v/>
      </c>
      <c r="O30" s="62" t="str">
        <f t="shared" si="3"/>
        <v/>
      </c>
      <c r="P30" s="324" t="str">
        <f t="shared" si="13"/>
        <v/>
      </c>
      <c r="Q30" s="69"/>
      <c r="R30" s="61"/>
      <c r="S30" s="324" t="str">
        <f t="shared" si="14"/>
        <v/>
      </c>
      <c r="T30" s="69"/>
      <c r="U30" s="61"/>
      <c r="V30" s="324" t="str">
        <f t="shared" si="15"/>
        <v/>
      </c>
      <c r="W30" s="69"/>
      <c r="X30" s="61"/>
      <c r="Y30" s="324" t="str">
        <f t="shared" si="16"/>
        <v/>
      </c>
      <c r="Z30" s="74" t="str">
        <f t="shared" si="17"/>
        <v/>
      </c>
      <c r="AA30" s="62" t="str">
        <f t="shared" si="17"/>
        <v/>
      </c>
      <c r="AB30" s="324" t="str">
        <f t="shared" si="18"/>
        <v/>
      </c>
      <c r="AC30" s="74" t="str">
        <f t="shared" si="4"/>
        <v/>
      </c>
      <c r="AD30" s="62" t="str">
        <f t="shared" si="5"/>
        <v/>
      </c>
      <c r="AE30" s="324" t="str">
        <f t="shared" si="19"/>
        <v/>
      </c>
      <c r="AF30" s="69"/>
      <c r="AG30" s="61"/>
      <c r="AH30" s="324" t="str">
        <f t="shared" si="20"/>
        <v/>
      </c>
      <c r="AI30" s="69"/>
      <c r="AJ30" s="61"/>
      <c r="AK30" s="324" t="str">
        <f t="shared" si="21"/>
        <v/>
      </c>
      <c r="AL30" s="69"/>
      <c r="AM30" s="61"/>
      <c r="AN30" s="324" t="str">
        <f t="shared" si="22"/>
        <v/>
      </c>
      <c r="AO30" s="74" t="str">
        <f t="shared" si="23"/>
        <v/>
      </c>
      <c r="AP30" s="62" t="str">
        <f t="shared" si="23"/>
        <v/>
      </c>
      <c r="AQ30" s="324" t="str">
        <f t="shared" si="24"/>
        <v/>
      </c>
      <c r="AR30" s="74" t="str">
        <f t="shared" si="6"/>
        <v/>
      </c>
      <c r="AS30" s="62" t="str">
        <f t="shared" si="7"/>
        <v/>
      </c>
      <c r="AT30" s="324" t="str">
        <f t="shared" si="25"/>
        <v/>
      </c>
    </row>
    <row r="31" spans="1:46" ht="18" customHeight="1">
      <c r="A31" s="77" t="str">
        <f>IF($C$9="Data Not Entered On Set-Up Worksheet","",IF(OR(VLOOKUP($C$9,County_Lookup,16,FALSE)="",VLOOKUP($C$9,County_Lookup,16,FALSE)=0),"",VLOOKUP($C$9,County_Lookup,16,FALSE)))</f>
        <v/>
      </c>
      <c r="B31" s="69"/>
      <c r="C31" s="61"/>
      <c r="D31" s="324" t="str">
        <f t="shared" si="8"/>
        <v/>
      </c>
      <c r="E31" s="69"/>
      <c r="F31" s="61"/>
      <c r="G31" s="324" t="str">
        <f t="shared" si="9"/>
        <v/>
      </c>
      <c r="H31" s="69"/>
      <c r="I31" s="61"/>
      <c r="J31" s="324" t="str">
        <f t="shared" si="10"/>
        <v/>
      </c>
      <c r="K31" s="74" t="str">
        <f t="shared" si="11"/>
        <v/>
      </c>
      <c r="L31" s="62" t="str">
        <f t="shared" si="11"/>
        <v/>
      </c>
      <c r="M31" s="324" t="str">
        <f t="shared" si="12"/>
        <v/>
      </c>
      <c r="N31" s="74" t="str">
        <f t="shared" si="2"/>
        <v/>
      </c>
      <c r="O31" s="62" t="str">
        <f t="shared" si="3"/>
        <v/>
      </c>
      <c r="P31" s="324" t="str">
        <f t="shared" si="13"/>
        <v/>
      </c>
      <c r="Q31" s="69"/>
      <c r="R31" s="61"/>
      <c r="S31" s="324" t="str">
        <f t="shared" si="14"/>
        <v/>
      </c>
      <c r="T31" s="69"/>
      <c r="U31" s="61"/>
      <c r="V31" s="324" t="str">
        <f t="shared" si="15"/>
        <v/>
      </c>
      <c r="W31" s="69"/>
      <c r="X31" s="61"/>
      <c r="Y31" s="324" t="str">
        <f t="shared" si="16"/>
        <v/>
      </c>
      <c r="Z31" s="74" t="str">
        <f t="shared" si="17"/>
        <v/>
      </c>
      <c r="AA31" s="62" t="str">
        <f t="shared" si="17"/>
        <v/>
      </c>
      <c r="AB31" s="324" t="str">
        <f t="shared" si="18"/>
        <v/>
      </c>
      <c r="AC31" s="74" t="str">
        <f t="shared" si="4"/>
        <v/>
      </c>
      <c r="AD31" s="62" t="str">
        <f t="shared" si="5"/>
        <v/>
      </c>
      <c r="AE31" s="324" t="str">
        <f t="shared" si="19"/>
        <v/>
      </c>
      <c r="AF31" s="69"/>
      <c r="AG31" s="61"/>
      <c r="AH31" s="324" t="str">
        <f t="shared" si="20"/>
        <v/>
      </c>
      <c r="AI31" s="69"/>
      <c r="AJ31" s="61"/>
      <c r="AK31" s="324" t="str">
        <f t="shared" si="21"/>
        <v/>
      </c>
      <c r="AL31" s="69"/>
      <c r="AM31" s="61"/>
      <c r="AN31" s="324" t="str">
        <f t="shared" si="22"/>
        <v/>
      </c>
      <c r="AO31" s="74" t="str">
        <f t="shared" si="23"/>
        <v/>
      </c>
      <c r="AP31" s="62" t="str">
        <f t="shared" si="23"/>
        <v/>
      </c>
      <c r="AQ31" s="324" t="str">
        <f t="shared" si="24"/>
        <v/>
      </c>
      <c r="AR31" s="74" t="str">
        <f t="shared" si="6"/>
        <v/>
      </c>
      <c r="AS31" s="62" t="str">
        <f t="shared" si="7"/>
        <v/>
      </c>
      <c r="AT31" s="324" t="str">
        <f t="shared" si="25"/>
        <v/>
      </c>
    </row>
    <row r="32" spans="1:46" ht="18" customHeight="1">
      <c r="A32" s="77" t="str">
        <f>IF($C$9="Data Not Entered On Set-Up Worksheet","",IF(OR(VLOOKUP($C$9,County_Lookup,17,FALSE)="",VLOOKUP($C$9,County_Lookup,17,FALSE)=0),"",VLOOKUP($C$9,County_Lookup,17,FALSE)))</f>
        <v/>
      </c>
      <c r="B32" s="69"/>
      <c r="C32" s="61"/>
      <c r="D32" s="324" t="str">
        <f t="shared" si="8"/>
        <v/>
      </c>
      <c r="E32" s="69"/>
      <c r="F32" s="61"/>
      <c r="G32" s="324" t="str">
        <f t="shared" si="9"/>
        <v/>
      </c>
      <c r="H32" s="69"/>
      <c r="I32" s="61"/>
      <c r="J32" s="324" t="str">
        <f t="shared" si="10"/>
        <v/>
      </c>
      <c r="K32" s="74" t="str">
        <f t="shared" si="11"/>
        <v/>
      </c>
      <c r="L32" s="62" t="str">
        <f t="shared" si="11"/>
        <v/>
      </c>
      <c r="M32" s="324" t="str">
        <f t="shared" si="12"/>
        <v/>
      </c>
      <c r="N32" s="74" t="str">
        <f t="shared" si="2"/>
        <v/>
      </c>
      <c r="O32" s="62" t="str">
        <f t="shared" si="3"/>
        <v/>
      </c>
      <c r="P32" s="324" t="str">
        <f t="shared" si="13"/>
        <v/>
      </c>
      <c r="Q32" s="69"/>
      <c r="R32" s="61"/>
      <c r="S32" s="324" t="str">
        <f t="shared" si="14"/>
        <v/>
      </c>
      <c r="T32" s="69"/>
      <c r="U32" s="61"/>
      <c r="V32" s="324" t="str">
        <f t="shared" si="15"/>
        <v/>
      </c>
      <c r="W32" s="69"/>
      <c r="X32" s="61"/>
      <c r="Y32" s="324" t="str">
        <f t="shared" si="16"/>
        <v/>
      </c>
      <c r="Z32" s="74" t="str">
        <f t="shared" si="17"/>
        <v/>
      </c>
      <c r="AA32" s="62" t="str">
        <f t="shared" si="17"/>
        <v/>
      </c>
      <c r="AB32" s="324" t="str">
        <f t="shared" si="18"/>
        <v/>
      </c>
      <c r="AC32" s="74" t="str">
        <f t="shared" si="4"/>
        <v/>
      </c>
      <c r="AD32" s="62" t="str">
        <f t="shared" si="5"/>
        <v/>
      </c>
      <c r="AE32" s="324" t="str">
        <f t="shared" si="19"/>
        <v/>
      </c>
      <c r="AF32" s="69"/>
      <c r="AG32" s="61"/>
      <c r="AH32" s="324" t="str">
        <f t="shared" si="20"/>
        <v/>
      </c>
      <c r="AI32" s="69"/>
      <c r="AJ32" s="61"/>
      <c r="AK32" s="324" t="str">
        <f t="shared" si="21"/>
        <v/>
      </c>
      <c r="AL32" s="69"/>
      <c r="AM32" s="61"/>
      <c r="AN32" s="324" t="str">
        <f t="shared" si="22"/>
        <v/>
      </c>
      <c r="AO32" s="74" t="str">
        <f t="shared" si="23"/>
        <v/>
      </c>
      <c r="AP32" s="62" t="str">
        <f t="shared" si="23"/>
        <v/>
      </c>
      <c r="AQ32" s="324" t="str">
        <f t="shared" si="24"/>
        <v/>
      </c>
      <c r="AR32" s="74" t="str">
        <f t="shared" si="6"/>
        <v/>
      </c>
      <c r="AS32" s="62" t="str">
        <f t="shared" si="7"/>
        <v/>
      </c>
      <c r="AT32" s="324" t="str">
        <f t="shared" si="25"/>
        <v/>
      </c>
    </row>
    <row r="33" spans="1:46" ht="18" customHeight="1">
      <c r="A33" s="77" t="str">
        <f>IF($C$9="Data Not Entered On Set-Up Worksheet","",IF(OR(VLOOKUP($C$9,County_Lookup,18,FALSE)="",VLOOKUP($C$9,County_Lookup,18,FALSE)=0),"",VLOOKUP($C$9,County_Lookup,18,FALSE)))</f>
        <v/>
      </c>
      <c r="B33" s="69"/>
      <c r="C33" s="61"/>
      <c r="D33" s="324" t="str">
        <f t="shared" si="8"/>
        <v/>
      </c>
      <c r="E33" s="69"/>
      <c r="F33" s="61"/>
      <c r="G33" s="324" t="str">
        <f t="shared" si="9"/>
        <v/>
      </c>
      <c r="H33" s="69"/>
      <c r="I33" s="61"/>
      <c r="J33" s="324" t="str">
        <f t="shared" si="10"/>
        <v/>
      </c>
      <c r="K33" s="74" t="str">
        <f t="shared" si="11"/>
        <v/>
      </c>
      <c r="L33" s="62" t="str">
        <f t="shared" si="11"/>
        <v/>
      </c>
      <c r="M33" s="324" t="str">
        <f t="shared" si="12"/>
        <v/>
      </c>
      <c r="N33" s="74" t="str">
        <f t="shared" si="2"/>
        <v/>
      </c>
      <c r="O33" s="62" t="str">
        <f t="shared" si="3"/>
        <v/>
      </c>
      <c r="P33" s="324" t="str">
        <f t="shared" si="13"/>
        <v/>
      </c>
      <c r="Q33" s="69"/>
      <c r="R33" s="61"/>
      <c r="S33" s="324" t="str">
        <f t="shared" si="14"/>
        <v/>
      </c>
      <c r="T33" s="69"/>
      <c r="U33" s="61"/>
      <c r="V33" s="324" t="str">
        <f t="shared" si="15"/>
        <v/>
      </c>
      <c r="W33" s="69"/>
      <c r="X33" s="61"/>
      <c r="Y33" s="324" t="str">
        <f t="shared" si="16"/>
        <v/>
      </c>
      <c r="Z33" s="74" t="str">
        <f t="shared" si="17"/>
        <v/>
      </c>
      <c r="AA33" s="62" t="str">
        <f t="shared" si="17"/>
        <v/>
      </c>
      <c r="AB33" s="324" t="str">
        <f t="shared" si="18"/>
        <v/>
      </c>
      <c r="AC33" s="74" t="str">
        <f t="shared" si="4"/>
        <v/>
      </c>
      <c r="AD33" s="62" t="str">
        <f t="shared" si="5"/>
        <v/>
      </c>
      <c r="AE33" s="324" t="str">
        <f t="shared" si="19"/>
        <v/>
      </c>
      <c r="AF33" s="69"/>
      <c r="AG33" s="61"/>
      <c r="AH33" s="324" t="str">
        <f t="shared" si="20"/>
        <v/>
      </c>
      <c r="AI33" s="69"/>
      <c r="AJ33" s="61"/>
      <c r="AK33" s="324" t="str">
        <f t="shared" si="21"/>
        <v/>
      </c>
      <c r="AL33" s="69"/>
      <c r="AM33" s="61"/>
      <c r="AN33" s="324" t="str">
        <f t="shared" si="22"/>
        <v/>
      </c>
      <c r="AO33" s="74" t="str">
        <f t="shared" si="23"/>
        <v/>
      </c>
      <c r="AP33" s="62" t="str">
        <f t="shared" si="23"/>
        <v/>
      </c>
      <c r="AQ33" s="324" t="str">
        <f t="shared" si="24"/>
        <v/>
      </c>
      <c r="AR33" s="74" t="str">
        <f t="shared" si="6"/>
        <v/>
      </c>
      <c r="AS33" s="62" t="str">
        <f t="shared" si="7"/>
        <v/>
      </c>
      <c r="AT33" s="324" t="str">
        <f t="shared" si="25"/>
        <v/>
      </c>
    </row>
    <row r="34" spans="1:46" ht="18" customHeight="1">
      <c r="A34" s="77" t="str">
        <f>IF($C$9="Data Not Entered On Set-Up Worksheet","",IF(OR(VLOOKUP($C$9,County_Lookup,19,FALSE)="",VLOOKUP($C$9,County_Lookup,19,FALSE)=0),"",VLOOKUP($C$9,County_Lookup,19,FALSE)))</f>
        <v/>
      </c>
      <c r="B34" s="69"/>
      <c r="C34" s="61"/>
      <c r="D34" s="324" t="str">
        <f t="shared" si="8"/>
        <v/>
      </c>
      <c r="E34" s="69"/>
      <c r="F34" s="61"/>
      <c r="G34" s="324" t="str">
        <f t="shared" si="9"/>
        <v/>
      </c>
      <c r="H34" s="69"/>
      <c r="I34" s="61"/>
      <c r="J34" s="324" t="str">
        <f t="shared" si="10"/>
        <v/>
      </c>
      <c r="K34" s="74" t="str">
        <f t="shared" si="11"/>
        <v/>
      </c>
      <c r="L34" s="62" t="str">
        <f t="shared" si="11"/>
        <v/>
      </c>
      <c r="M34" s="324" t="str">
        <f t="shared" si="12"/>
        <v/>
      </c>
      <c r="N34" s="74" t="str">
        <f t="shared" si="2"/>
        <v/>
      </c>
      <c r="O34" s="62" t="str">
        <f t="shared" si="3"/>
        <v/>
      </c>
      <c r="P34" s="324" t="str">
        <f t="shared" si="13"/>
        <v/>
      </c>
      <c r="Q34" s="69"/>
      <c r="R34" s="61"/>
      <c r="S34" s="324" t="str">
        <f t="shared" si="14"/>
        <v/>
      </c>
      <c r="T34" s="69"/>
      <c r="U34" s="61"/>
      <c r="V34" s="324" t="str">
        <f t="shared" si="15"/>
        <v/>
      </c>
      <c r="W34" s="69"/>
      <c r="X34" s="61"/>
      <c r="Y34" s="324" t="str">
        <f t="shared" si="16"/>
        <v/>
      </c>
      <c r="Z34" s="74" t="str">
        <f t="shared" si="17"/>
        <v/>
      </c>
      <c r="AA34" s="62" t="str">
        <f t="shared" si="17"/>
        <v/>
      </c>
      <c r="AB34" s="324" t="str">
        <f t="shared" si="18"/>
        <v/>
      </c>
      <c r="AC34" s="74" t="str">
        <f t="shared" si="4"/>
        <v/>
      </c>
      <c r="AD34" s="62" t="str">
        <f t="shared" si="5"/>
        <v/>
      </c>
      <c r="AE34" s="324" t="str">
        <f t="shared" si="19"/>
        <v/>
      </c>
      <c r="AF34" s="69"/>
      <c r="AG34" s="61"/>
      <c r="AH34" s="324" t="str">
        <f t="shared" si="20"/>
        <v/>
      </c>
      <c r="AI34" s="69"/>
      <c r="AJ34" s="61"/>
      <c r="AK34" s="324" t="str">
        <f t="shared" si="21"/>
        <v/>
      </c>
      <c r="AL34" s="69"/>
      <c r="AM34" s="61"/>
      <c r="AN34" s="324" t="str">
        <f t="shared" si="22"/>
        <v/>
      </c>
      <c r="AO34" s="74" t="str">
        <f t="shared" si="23"/>
        <v/>
      </c>
      <c r="AP34" s="62" t="str">
        <f t="shared" si="23"/>
        <v/>
      </c>
      <c r="AQ34" s="324" t="str">
        <f t="shared" si="24"/>
        <v/>
      </c>
      <c r="AR34" s="74" t="str">
        <f t="shared" si="6"/>
        <v/>
      </c>
      <c r="AS34" s="62" t="str">
        <f t="shared" si="7"/>
        <v/>
      </c>
      <c r="AT34" s="324" t="str">
        <f t="shared" si="25"/>
        <v/>
      </c>
    </row>
    <row r="35" spans="1:46" ht="18" customHeight="1">
      <c r="A35" s="77" t="str">
        <f>IF($C$9="Data Not Entered On Set-Up Worksheet","",IF(OR(VLOOKUP($C$9,County_Lookup,20,FALSE)="",VLOOKUP($C$9,County_Lookup,20,FALSE)=0),"",VLOOKUP($C$9,County_Lookup,20,FALSE)))</f>
        <v/>
      </c>
      <c r="B35" s="69"/>
      <c r="C35" s="61"/>
      <c r="D35" s="324" t="str">
        <f t="shared" si="8"/>
        <v/>
      </c>
      <c r="E35" s="69"/>
      <c r="F35" s="61"/>
      <c r="G35" s="324" t="str">
        <f t="shared" si="9"/>
        <v/>
      </c>
      <c r="H35" s="69"/>
      <c r="I35" s="61"/>
      <c r="J35" s="324" t="str">
        <f t="shared" si="10"/>
        <v/>
      </c>
      <c r="K35" s="74" t="str">
        <f t="shared" si="11"/>
        <v/>
      </c>
      <c r="L35" s="62" t="str">
        <f t="shared" si="11"/>
        <v/>
      </c>
      <c r="M35" s="324" t="str">
        <f t="shared" si="12"/>
        <v/>
      </c>
      <c r="N35" s="74" t="str">
        <f t="shared" si="2"/>
        <v/>
      </c>
      <c r="O35" s="62" t="str">
        <f t="shared" si="3"/>
        <v/>
      </c>
      <c r="P35" s="324" t="str">
        <f t="shared" si="13"/>
        <v/>
      </c>
      <c r="Q35" s="69"/>
      <c r="R35" s="61"/>
      <c r="S35" s="324" t="str">
        <f t="shared" si="14"/>
        <v/>
      </c>
      <c r="T35" s="69"/>
      <c r="U35" s="61"/>
      <c r="V35" s="324" t="str">
        <f t="shared" si="15"/>
        <v/>
      </c>
      <c r="W35" s="69"/>
      <c r="X35" s="61"/>
      <c r="Y35" s="324" t="str">
        <f t="shared" si="16"/>
        <v/>
      </c>
      <c r="Z35" s="74" t="str">
        <f t="shared" si="17"/>
        <v/>
      </c>
      <c r="AA35" s="62" t="str">
        <f t="shared" si="17"/>
        <v/>
      </c>
      <c r="AB35" s="324" t="str">
        <f t="shared" si="18"/>
        <v/>
      </c>
      <c r="AC35" s="74" t="str">
        <f t="shared" si="4"/>
        <v/>
      </c>
      <c r="AD35" s="62" t="str">
        <f t="shared" si="5"/>
        <v/>
      </c>
      <c r="AE35" s="324" t="str">
        <f t="shared" si="19"/>
        <v/>
      </c>
      <c r="AF35" s="69"/>
      <c r="AG35" s="61"/>
      <c r="AH35" s="324" t="str">
        <f t="shared" si="20"/>
        <v/>
      </c>
      <c r="AI35" s="69"/>
      <c r="AJ35" s="61"/>
      <c r="AK35" s="324" t="str">
        <f t="shared" si="21"/>
        <v/>
      </c>
      <c r="AL35" s="69"/>
      <c r="AM35" s="61"/>
      <c r="AN35" s="324" t="str">
        <f t="shared" si="22"/>
        <v/>
      </c>
      <c r="AO35" s="74" t="str">
        <f t="shared" si="23"/>
        <v/>
      </c>
      <c r="AP35" s="62" t="str">
        <f t="shared" si="23"/>
        <v/>
      </c>
      <c r="AQ35" s="324" t="str">
        <f t="shared" si="24"/>
        <v/>
      </c>
      <c r="AR35" s="74" t="str">
        <f t="shared" si="6"/>
        <v/>
      </c>
      <c r="AS35" s="62" t="str">
        <f t="shared" si="7"/>
        <v/>
      </c>
      <c r="AT35" s="324" t="str">
        <f t="shared" si="25"/>
        <v/>
      </c>
    </row>
    <row r="36" spans="1:46" ht="18" customHeight="1">
      <c r="A36" s="77" t="str">
        <f>IF($C$9="Data Not Entered On Set-Up Worksheet","",IF(OR(VLOOKUP($C$9,County_Lookup,21,FALSE)="",VLOOKUP($C$9,County_Lookup,21,FALSE)=0),"",VLOOKUP($C$9,County_Lookup,21,FALSE)))</f>
        <v/>
      </c>
      <c r="B36" s="69"/>
      <c r="C36" s="61"/>
      <c r="D36" s="324" t="str">
        <f t="shared" si="8"/>
        <v/>
      </c>
      <c r="E36" s="69"/>
      <c r="F36" s="61"/>
      <c r="G36" s="324" t="str">
        <f t="shared" si="9"/>
        <v/>
      </c>
      <c r="H36" s="69"/>
      <c r="I36" s="61"/>
      <c r="J36" s="324" t="str">
        <f t="shared" si="10"/>
        <v/>
      </c>
      <c r="K36" s="74" t="str">
        <f t="shared" si="11"/>
        <v/>
      </c>
      <c r="L36" s="62" t="str">
        <f t="shared" si="11"/>
        <v/>
      </c>
      <c r="M36" s="324" t="str">
        <f t="shared" si="12"/>
        <v/>
      </c>
      <c r="N36" s="74" t="str">
        <f t="shared" si="2"/>
        <v/>
      </c>
      <c r="O36" s="62" t="str">
        <f t="shared" si="3"/>
        <v/>
      </c>
      <c r="P36" s="324" t="str">
        <f t="shared" si="13"/>
        <v/>
      </c>
      <c r="Q36" s="69"/>
      <c r="R36" s="61"/>
      <c r="S36" s="324" t="str">
        <f t="shared" si="14"/>
        <v/>
      </c>
      <c r="T36" s="69"/>
      <c r="U36" s="61"/>
      <c r="V36" s="324" t="str">
        <f t="shared" si="15"/>
        <v/>
      </c>
      <c r="W36" s="69"/>
      <c r="X36" s="61"/>
      <c r="Y36" s="324" t="str">
        <f t="shared" si="16"/>
        <v/>
      </c>
      <c r="Z36" s="74" t="str">
        <f t="shared" si="17"/>
        <v/>
      </c>
      <c r="AA36" s="62" t="str">
        <f t="shared" si="17"/>
        <v/>
      </c>
      <c r="AB36" s="324" t="str">
        <f t="shared" si="18"/>
        <v/>
      </c>
      <c r="AC36" s="74" t="str">
        <f t="shared" si="4"/>
        <v/>
      </c>
      <c r="AD36" s="62" t="str">
        <f t="shared" si="5"/>
        <v/>
      </c>
      <c r="AE36" s="324" t="str">
        <f t="shared" si="19"/>
        <v/>
      </c>
      <c r="AF36" s="69"/>
      <c r="AG36" s="61"/>
      <c r="AH36" s="324" t="str">
        <f t="shared" si="20"/>
        <v/>
      </c>
      <c r="AI36" s="69"/>
      <c r="AJ36" s="61"/>
      <c r="AK36" s="324" t="str">
        <f t="shared" si="21"/>
        <v/>
      </c>
      <c r="AL36" s="69"/>
      <c r="AM36" s="61"/>
      <c r="AN36" s="324" t="str">
        <f t="shared" si="22"/>
        <v/>
      </c>
      <c r="AO36" s="74" t="str">
        <f t="shared" si="23"/>
        <v/>
      </c>
      <c r="AP36" s="62" t="str">
        <f t="shared" si="23"/>
        <v/>
      </c>
      <c r="AQ36" s="324" t="str">
        <f t="shared" si="24"/>
        <v/>
      </c>
      <c r="AR36" s="74" t="str">
        <f t="shared" si="6"/>
        <v/>
      </c>
      <c r="AS36" s="62" t="str">
        <f t="shared" si="7"/>
        <v/>
      </c>
      <c r="AT36" s="324" t="str">
        <f t="shared" si="25"/>
        <v/>
      </c>
    </row>
    <row r="37" spans="1:46" ht="18" customHeight="1">
      <c r="A37" s="76" t="str">
        <f>IF($C$9="Data Not Entered On Set-Up Worksheet","",IF(OR(VLOOKUP($C$9,County_Lookup,22,FALSE)="",VLOOKUP($C$9,County_Lookup,22,FALSE)=0),"",VLOOKUP($C$9,County_Lookup,22,FALSE)))</f>
        <v/>
      </c>
      <c r="B37" s="69"/>
      <c r="C37" s="61"/>
      <c r="D37" s="324" t="str">
        <f t="shared" si="8"/>
        <v/>
      </c>
      <c r="E37" s="69"/>
      <c r="F37" s="61"/>
      <c r="G37" s="324" t="str">
        <f t="shared" si="9"/>
        <v/>
      </c>
      <c r="H37" s="69"/>
      <c r="I37" s="61"/>
      <c r="J37" s="324" t="str">
        <f t="shared" si="10"/>
        <v/>
      </c>
      <c r="K37" s="74" t="str">
        <f t="shared" si="11"/>
        <v/>
      </c>
      <c r="L37" s="62" t="str">
        <f t="shared" si="11"/>
        <v/>
      </c>
      <c r="M37" s="324" t="str">
        <f t="shared" si="12"/>
        <v/>
      </c>
      <c r="N37" s="74" t="str">
        <f t="shared" si="2"/>
        <v/>
      </c>
      <c r="O37" s="62" t="str">
        <f t="shared" si="3"/>
        <v/>
      </c>
      <c r="P37" s="324" t="str">
        <f t="shared" si="13"/>
        <v/>
      </c>
      <c r="Q37" s="69"/>
      <c r="R37" s="61"/>
      <c r="S37" s="324" t="str">
        <f t="shared" si="14"/>
        <v/>
      </c>
      <c r="T37" s="69"/>
      <c r="U37" s="61"/>
      <c r="V37" s="324" t="str">
        <f t="shared" si="15"/>
        <v/>
      </c>
      <c r="W37" s="69"/>
      <c r="X37" s="61"/>
      <c r="Y37" s="324" t="str">
        <f t="shared" si="16"/>
        <v/>
      </c>
      <c r="Z37" s="74" t="str">
        <f t="shared" si="17"/>
        <v/>
      </c>
      <c r="AA37" s="62" t="str">
        <f t="shared" si="17"/>
        <v/>
      </c>
      <c r="AB37" s="324" t="str">
        <f t="shared" si="18"/>
        <v/>
      </c>
      <c r="AC37" s="74" t="str">
        <f t="shared" si="4"/>
        <v/>
      </c>
      <c r="AD37" s="62" t="str">
        <f t="shared" si="5"/>
        <v/>
      </c>
      <c r="AE37" s="324" t="str">
        <f t="shared" si="19"/>
        <v/>
      </c>
      <c r="AF37" s="69"/>
      <c r="AG37" s="61"/>
      <c r="AH37" s="324" t="str">
        <f t="shared" si="20"/>
        <v/>
      </c>
      <c r="AI37" s="69"/>
      <c r="AJ37" s="61"/>
      <c r="AK37" s="324" t="str">
        <f t="shared" si="21"/>
        <v/>
      </c>
      <c r="AL37" s="69"/>
      <c r="AM37" s="61"/>
      <c r="AN37" s="324" t="str">
        <f t="shared" si="22"/>
        <v/>
      </c>
      <c r="AO37" s="74" t="str">
        <f t="shared" si="23"/>
        <v/>
      </c>
      <c r="AP37" s="62" t="str">
        <f t="shared" si="23"/>
        <v/>
      </c>
      <c r="AQ37" s="324" t="str">
        <f t="shared" si="24"/>
        <v/>
      </c>
      <c r="AR37" s="74" t="str">
        <f t="shared" si="6"/>
        <v/>
      </c>
      <c r="AS37" s="62" t="str">
        <f t="shared" si="7"/>
        <v/>
      </c>
      <c r="AT37" s="324" t="str">
        <f t="shared" si="25"/>
        <v/>
      </c>
    </row>
    <row r="38" spans="1:46" ht="18" customHeight="1">
      <c r="A38" s="77" t="str">
        <f>IF($C$9="Data Not Entered On Set-Up Worksheet","",IF(OR(VLOOKUP($C$9,County_Lookup,23,FALSE)="",VLOOKUP($C$9,County_Lookup,23,FALSE)=0),"",VLOOKUP($C$9,County_Lookup,23,FALSE)))</f>
        <v/>
      </c>
      <c r="B38" s="69"/>
      <c r="C38" s="61"/>
      <c r="D38" s="324" t="str">
        <f t="shared" si="8"/>
        <v/>
      </c>
      <c r="E38" s="69"/>
      <c r="F38" s="61"/>
      <c r="G38" s="324" t="str">
        <f t="shared" si="9"/>
        <v/>
      </c>
      <c r="H38" s="69"/>
      <c r="I38" s="61"/>
      <c r="J38" s="324" t="str">
        <f t="shared" si="10"/>
        <v/>
      </c>
      <c r="K38" s="74" t="str">
        <f t="shared" si="11"/>
        <v/>
      </c>
      <c r="L38" s="62" t="str">
        <f t="shared" si="11"/>
        <v/>
      </c>
      <c r="M38" s="324" t="str">
        <f t="shared" si="12"/>
        <v/>
      </c>
      <c r="N38" s="74" t="str">
        <f t="shared" si="2"/>
        <v/>
      </c>
      <c r="O38" s="62" t="str">
        <f t="shared" si="3"/>
        <v/>
      </c>
      <c r="P38" s="324" t="str">
        <f t="shared" si="13"/>
        <v/>
      </c>
      <c r="Q38" s="69"/>
      <c r="R38" s="61"/>
      <c r="S38" s="324" t="str">
        <f t="shared" si="14"/>
        <v/>
      </c>
      <c r="T38" s="69"/>
      <c r="U38" s="61"/>
      <c r="V38" s="324" t="str">
        <f t="shared" si="15"/>
        <v/>
      </c>
      <c r="W38" s="69"/>
      <c r="X38" s="61"/>
      <c r="Y38" s="324" t="str">
        <f t="shared" si="16"/>
        <v/>
      </c>
      <c r="Z38" s="74" t="str">
        <f t="shared" si="17"/>
        <v/>
      </c>
      <c r="AA38" s="62" t="str">
        <f t="shared" si="17"/>
        <v/>
      </c>
      <c r="AB38" s="324" t="str">
        <f t="shared" si="18"/>
        <v/>
      </c>
      <c r="AC38" s="74" t="str">
        <f t="shared" si="4"/>
        <v/>
      </c>
      <c r="AD38" s="62" t="str">
        <f t="shared" si="5"/>
        <v/>
      </c>
      <c r="AE38" s="324" t="str">
        <f t="shared" si="19"/>
        <v/>
      </c>
      <c r="AF38" s="69"/>
      <c r="AG38" s="61"/>
      <c r="AH38" s="324" t="str">
        <f t="shared" si="20"/>
        <v/>
      </c>
      <c r="AI38" s="69"/>
      <c r="AJ38" s="61"/>
      <c r="AK38" s="324" t="str">
        <f t="shared" si="21"/>
        <v/>
      </c>
      <c r="AL38" s="69"/>
      <c r="AM38" s="61"/>
      <c r="AN38" s="324" t="str">
        <f t="shared" si="22"/>
        <v/>
      </c>
      <c r="AO38" s="74" t="str">
        <f t="shared" si="23"/>
        <v/>
      </c>
      <c r="AP38" s="62" t="str">
        <f t="shared" si="23"/>
        <v/>
      </c>
      <c r="AQ38" s="324" t="str">
        <f t="shared" si="24"/>
        <v/>
      </c>
      <c r="AR38" s="74" t="str">
        <f t="shared" si="6"/>
        <v/>
      </c>
      <c r="AS38" s="62" t="str">
        <f t="shared" si="7"/>
        <v/>
      </c>
      <c r="AT38" s="324" t="str">
        <f t="shared" si="25"/>
        <v/>
      </c>
    </row>
    <row r="39" spans="1:46" ht="18" customHeight="1">
      <c r="A39" s="77" t="str">
        <f>IF($C$9="Data Not Entered On Set-Up Worksheet","",IF(OR(VLOOKUP($C$9,County_Lookup,24,FALSE)="",VLOOKUP($C$9,County_Lookup,24,FALSE)=0),"",VLOOKUP($C$9,County_Lookup,24,FALSE)))</f>
        <v/>
      </c>
      <c r="B39" s="69"/>
      <c r="C39" s="61"/>
      <c r="D39" s="324" t="str">
        <f t="shared" ref="D39" si="26">IF($A39="","",IF(C39=0,0,B39/C39))</f>
        <v/>
      </c>
      <c r="E39" s="69"/>
      <c r="F39" s="61"/>
      <c r="G39" s="324" t="str">
        <f t="shared" ref="G39" si="27">IF($A39="","",IF(F39=0,0,E39/F39))</f>
        <v/>
      </c>
      <c r="H39" s="69"/>
      <c r="I39" s="61"/>
      <c r="J39" s="324" t="str">
        <f t="shared" ref="J39" si="28">IF($A39="","",IF(I39=0,0,H39/I39))</f>
        <v/>
      </c>
      <c r="K39" s="74" t="str">
        <f t="shared" ref="K39" si="29">IF($A39="","",SUM(E39,H39))</f>
        <v/>
      </c>
      <c r="L39" s="62" t="str">
        <f t="shared" ref="L39" si="30">IF($A39="","",SUM(F39,I39))</f>
        <v/>
      </c>
      <c r="M39" s="324" t="str">
        <f t="shared" ref="M39" si="31">IF($A39="","",IF(L39=0,0,K39/L39))</f>
        <v/>
      </c>
      <c r="N39" s="74" t="str">
        <f t="shared" ref="N39" si="32">IF($A39="","",SUM(B39,E39,H39))</f>
        <v/>
      </c>
      <c r="O39" s="62" t="str">
        <f t="shared" ref="O39" si="33">IF($A39="","",SUM(C39,F39,I39))</f>
        <v/>
      </c>
      <c r="P39" s="324" t="str">
        <f t="shared" ref="P39" si="34">IF($A39="","",IF(O39=0,0,N39/O39))</f>
        <v/>
      </c>
      <c r="Q39" s="69"/>
      <c r="R39" s="61"/>
      <c r="S39" s="324" t="str">
        <f t="shared" ref="S39" si="35">IF($A39="","",IF(R39=0,0,Q39/R39))</f>
        <v/>
      </c>
      <c r="T39" s="69"/>
      <c r="U39" s="61"/>
      <c r="V39" s="324" t="str">
        <f t="shared" ref="V39" si="36">IF($A39="","",IF(U39=0,0,T39/U39))</f>
        <v/>
      </c>
      <c r="W39" s="69"/>
      <c r="X39" s="61"/>
      <c r="Y39" s="324" t="str">
        <f t="shared" ref="Y39" si="37">IF($A39="","",IF(X39=0,0,W39/X39))</f>
        <v/>
      </c>
      <c r="Z39" s="74" t="str">
        <f t="shared" ref="Z39" si="38">IF($A39="","",SUM(T39,W39))</f>
        <v/>
      </c>
      <c r="AA39" s="62" t="str">
        <f t="shared" ref="AA39" si="39">IF($A39="","",SUM(U39,X39))</f>
        <v/>
      </c>
      <c r="AB39" s="324" t="str">
        <f t="shared" ref="AB39" si="40">IF($A39="","",IF(AA39=0,0,Z39/AA39))</f>
        <v/>
      </c>
      <c r="AC39" s="74" t="str">
        <f t="shared" ref="AC39" si="41">IF($A39="","",SUM(Q39,T39,W39))</f>
        <v/>
      </c>
      <c r="AD39" s="62" t="str">
        <f t="shared" ref="AD39" si="42">IF($A39="","",SUM(R39,U39,X39))</f>
        <v/>
      </c>
      <c r="AE39" s="324" t="str">
        <f t="shared" ref="AE39" si="43">IF($A39="","",IF(AD39=0,0,AC39/AD39))</f>
        <v/>
      </c>
      <c r="AF39" s="69"/>
      <c r="AG39" s="61"/>
      <c r="AH39" s="324" t="str">
        <f t="shared" ref="AH39" si="44">IF($A39="","",IF(AG39=0,0,AF39/AG39))</f>
        <v/>
      </c>
      <c r="AI39" s="69"/>
      <c r="AJ39" s="61"/>
      <c r="AK39" s="324" t="str">
        <f t="shared" ref="AK39" si="45">IF($A39="","",IF(AJ39=0,0,AI39/AJ39))</f>
        <v/>
      </c>
      <c r="AL39" s="69"/>
      <c r="AM39" s="61"/>
      <c r="AN39" s="324" t="str">
        <f t="shared" ref="AN39" si="46">IF($A39="","",IF(AM39=0,0,AL39/AM39))</f>
        <v/>
      </c>
      <c r="AO39" s="74" t="str">
        <f t="shared" ref="AO39" si="47">IF($A39="","",SUM(AI39,AL39))</f>
        <v/>
      </c>
      <c r="AP39" s="62" t="str">
        <f t="shared" ref="AP39" si="48">IF($A39="","",SUM(AJ39,AM39))</f>
        <v/>
      </c>
      <c r="AQ39" s="324" t="str">
        <f t="shared" ref="AQ39" si="49">IF($A39="","",IF(AP39=0,0,AO39/AP39))</f>
        <v/>
      </c>
      <c r="AR39" s="74" t="str">
        <f t="shared" ref="AR39" si="50">IF($A39="","",SUM(AF39,AI39,AL39))</f>
        <v/>
      </c>
      <c r="AS39" s="62" t="str">
        <f t="shared" ref="AS39" si="51">IF($A39="","",SUM(AG39,AJ39,AM39))</f>
        <v/>
      </c>
      <c r="AT39" s="324" t="str">
        <f t="shared" ref="AT39" si="52">IF($A39="","",IF(AS39=0,0,AR39/AS39))</f>
        <v/>
      </c>
    </row>
    <row r="40" spans="1:46" ht="18" customHeight="1">
      <c r="A40" s="77" t="str">
        <f>IF($C$9="Data Not Entered On Set-Up Worksheet","",IF(OR(VLOOKUP($C$9,County_Lookup,25,FALSE)="",VLOOKUP($C$9,County_Lookup,25,FALSE)=0),"",VLOOKUP($C$9,County_Lookup,25,FALSE)))</f>
        <v/>
      </c>
      <c r="B40" s="69"/>
      <c r="C40" s="61"/>
      <c r="D40" s="324" t="str">
        <f t="shared" si="8"/>
        <v/>
      </c>
      <c r="E40" s="69"/>
      <c r="F40" s="61"/>
      <c r="G40" s="324" t="str">
        <f t="shared" si="9"/>
        <v/>
      </c>
      <c r="H40" s="69"/>
      <c r="I40" s="61"/>
      <c r="J40" s="324" t="str">
        <f t="shared" si="10"/>
        <v/>
      </c>
      <c r="K40" s="74" t="str">
        <f t="shared" si="11"/>
        <v/>
      </c>
      <c r="L40" s="62" t="str">
        <f t="shared" si="11"/>
        <v/>
      </c>
      <c r="M40" s="324" t="str">
        <f t="shared" si="12"/>
        <v/>
      </c>
      <c r="N40" s="74" t="str">
        <f t="shared" si="2"/>
        <v/>
      </c>
      <c r="O40" s="62" t="str">
        <f t="shared" si="3"/>
        <v/>
      </c>
      <c r="P40" s="324" t="str">
        <f t="shared" si="13"/>
        <v/>
      </c>
      <c r="Q40" s="69"/>
      <c r="R40" s="61"/>
      <c r="S40" s="324" t="str">
        <f t="shared" si="14"/>
        <v/>
      </c>
      <c r="T40" s="69"/>
      <c r="U40" s="61"/>
      <c r="V40" s="324" t="str">
        <f t="shared" si="15"/>
        <v/>
      </c>
      <c r="W40" s="69"/>
      <c r="X40" s="61"/>
      <c r="Y40" s="324" t="str">
        <f t="shared" si="16"/>
        <v/>
      </c>
      <c r="Z40" s="74" t="str">
        <f t="shared" si="17"/>
        <v/>
      </c>
      <c r="AA40" s="62" t="str">
        <f t="shared" si="17"/>
        <v/>
      </c>
      <c r="AB40" s="324" t="str">
        <f t="shared" si="18"/>
        <v/>
      </c>
      <c r="AC40" s="74" t="str">
        <f t="shared" si="4"/>
        <v/>
      </c>
      <c r="AD40" s="62" t="str">
        <f t="shared" si="5"/>
        <v/>
      </c>
      <c r="AE40" s="324" t="str">
        <f t="shared" si="19"/>
        <v/>
      </c>
      <c r="AF40" s="69"/>
      <c r="AG40" s="61"/>
      <c r="AH40" s="324" t="str">
        <f t="shared" si="20"/>
        <v/>
      </c>
      <c r="AI40" s="69"/>
      <c r="AJ40" s="61"/>
      <c r="AK40" s="324" t="str">
        <f t="shared" si="21"/>
        <v/>
      </c>
      <c r="AL40" s="69"/>
      <c r="AM40" s="61"/>
      <c r="AN40" s="324" t="str">
        <f t="shared" si="22"/>
        <v/>
      </c>
      <c r="AO40" s="74" t="str">
        <f t="shared" si="23"/>
        <v/>
      </c>
      <c r="AP40" s="62" t="str">
        <f t="shared" si="23"/>
        <v/>
      </c>
      <c r="AQ40" s="324" t="str">
        <f t="shared" si="24"/>
        <v/>
      </c>
      <c r="AR40" s="74" t="str">
        <f t="shared" si="6"/>
        <v/>
      </c>
      <c r="AS40" s="62" t="str">
        <f t="shared" si="7"/>
        <v/>
      </c>
      <c r="AT40" s="324" t="str">
        <f t="shared" si="25"/>
        <v/>
      </c>
    </row>
    <row r="41" spans="1:46" ht="18" customHeight="1" thickBot="1">
      <c r="A41" s="78" t="s">
        <v>0</v>
      </c>
      <c r="B41" s="71">
        <f>SUM(B17:B40)</f>
        <v>0</v>
      </c>
      <c r="C41" s="72">
        <f>SUM(C17:C40)</f>
        <v>0</v>
      </c>
      <c r="D41" s="325">
        <f t="shared" ref="D41" si="53">IF(C41=0,0,B41/C41)</f>
        <v>0</v>
      </c>
      <c r="E41" s="71">
        <f>SUM(E17:E40)</f>
        <v>0</v>
      </c>
      <c r="F41" s="72">
        <f>SUM(F17:F40)</f>
        <v>0</v>
      </c>
      <c r="G41" s="325">
        <f t="shared" ref="G41" si="54">IF(F41=0,0,E41/F41)</f>
        <v>0</v>
      </c>
      <c r="H41" s="71">
        <f>SUM(H17:H40)</f>
        <v>0</v>
      </c>
      <c r="I41" s="72">
        <f>SUM(I17:I40)</f>
        <v>0</v>
      </c>
      <c r="J41" s="325">
        <f t="shared" ref="J41" si="55">IF(I41=0,0,H41/I41)</f>
        <v>0</v>
      </c>
      <c r="K41" s="71">
        <f>SUM(K17:K40)</f>
        <v>0</v>
      </c>
      <c r="L41" s="72">
        <f>SUM(L17:L40)</f>
        <v>0</v>
      </c>
      <c r="M41" s="325">
        <f t="shared" ref="M41" si="56">IF(L41=0,0,K41/L41)</f>
        <v>0</v>
      </c>
      <c r="N41" s="71">
        <f>SUM(N17:N40)</f>
        <v>0</v>
      </c>
      <c r="O41" s="72">
        <f>SUM(O17:O40)</f>
        <v>0</v>
      </c>
      <c r="P41" s="325">
        <f t="shared" ref="P41" si="57">IF(O41=0,0,N41/O41)</f>
        <v>0</v>
      </c>
      <c r="Q41" s="71">
        <f>SUM(Q17:Q40)</f>
        <v>0</v>
      </c>
      <c r="R41" s="72">
        <f>SUM(R17:R40)</f>
        <v>0</v>
      </c>
      <c r="S41" s="325">
        <f t="shared" ref="S41" si="58">IF(R41=0,0,Q41/R41)</f>
        <v>0</v>
      </c>
      <c r="T41" s="71">
        <f>SUM(T17:T40)</f>
        <v>0</v>
      </c>
      <c r="U41" s="72">
        <f>SUM(U17:U40)</f>
        <v>0</v>
      </c>
      <c r="V41" s="325">
        <f t="shared" ref="V41" si="59">IF(U41=0,0,T41/U41)</f>
        <v>0</v>
      </c>
      <c r="W41" s="71">
        <f>SUM(W17:W40)</f>
        <v>0</v>
      </c>
      <c r="X41" s="72">
        <f>SUM(X17:X40)</f>
        <v>0</v>
      </c>
      <c r="Y41" s="325">
        <f t="shared" ref="Y41" si="60">IF(X41=0,0,W41/X41)</f>
        <v>0</v>
      </c>
      <c r="Z41" s="71">
        <f>SUM(Z17:Z40)</f>
        <v>0</v>
      </c>
      <c r="AA41" s="72">
        <f>SUM(AA17:AA40)</f>
        <v>0</v>
      </c>
      <c r="AB41" s="325">
        <f t="shared" ref="AB41" si="61">IF(AA41=0,0,Z41/AA41)</f>
        <v>0</v>
      </c>
      <c r="AC41" s="71">
        <f>SUM(AC17:AC40)</f>
        <v>0</v>
      </c>
      <c r="AD41" s="72">
        <f>SUM(AD17:AD40)</f>
        <v>0</v>
      </c>
      <c r="AE41" s="325">
        <f t="shared" ref="AE41" si="62">IF(AD41=0,0,AC41/AD41)</f>
        <v>0</v>
      </c>
      <c r="AF41" s="71">
        <f>SUM(AF17:AF40)</f>
        <v>0</v>
      </c>
      <c r="AG41" s="72">
        <f>SUM(AG17:AG40)</f>
        <v>0</v>
      </c>
      <c r="AH41" s="325">
        <f t="shared" ref="AH41" si="63">IF(AG41=0,0,AF41/AG41)</f>
        <v>0</v>
      </c>
      <c r="AI41" s="71">
        <f>SUM(AI17:AI40)</f>
        <v>0</v>
      </c>
      <c r="AJ41" s="72">
        <f>SUM(AJ17:AJ40)</f>
        <v>0</v>
      </c>
      <c r="AK41" s="325">
        <f t="shared" ref="AK41" si="64">IF(AJ41=0,0,AI41/AJ41)</f>
        <v>0</v>
      </c>
      <c r="AL41" s="71">
        <f>SUM(AL17:AL40)</f>
        <v>0</v>
      </c>
      <c r="AM41" s="72">
        <f>SUM(AM17:AM40)</f>
        <v>0</v>
      </c>
      <c r="AN41" s="325">
        <f t="shared" ref="AN41" si="65">IF(AM41=0,0,AL41/AM41)</f>
        <v>0</v>
      </c>
      <c r="AO41" s="71">
        <f>SUM(AO17:AO40)</f>
        <v>0</v>
      </c>
      <c r="AP41" s="72">
        <f>SUM(AP17:AP40)</f>
        <v>0</v>
      </c>
      <c r="AQ41" s="325">
        <f t="shared" ref="AQ41" si="66">IF(AP41=0,0,AO41/AP41)</f>
        <v>0</v>
      </c>
      <c r="AR41" s="71">
        <f>SUM(AR17:AR40)</f>
        <v>0</v>
      </c>
      <c r="AS41" s="72">
        <f>SUM(AS17:AS40)</f>
        <v>0</v>
      </c>
      <c r="AT41" s="325">
        <f t="shared" ref="AT41" si="67">IF(AS41=0,0,AR41/AS41)</f>
        <v>0</v>
      </c>
    </row>
  </sheetData>
  <sheetProtection sheet="1" objects="1" scenarios="1"/>
  <conditionalFormatting sqref="C3:C4">
    <cfRule type="expression" dxfId="325" priority="80">
      <formula>C3="Data Not Entered On Set-Up Worksheet"</formula>
    </cfRule>
  </conditionalFormatting>
  <conditionalFormatting sqref="C9">
    <cfRule type="expression" dxfId="324" priority="79">
      <formula>C9="Data Not Entered On Set-Up Worksheet"</formula>
    </cfRule>
  </conditionalFormatting>
  <conditionalFormatting sqref="C12">
    <cfRule type="expression" dxfId="323" priority="78">
      <formula>C12="Data Not Entered On Set-Up Worksheet"</formula>
    </cfRule>
  </conditionalFormatting>
  <conditionalFormatting sqref="B17:C40">
    <cfRule type="expression" dxfId="322" priority="3">
      <formula>$A17="Other"</formula>
    </cfRule>
    <cfRule type="expression" dxfId="321" priority="77">
      <formula>AND($A17&lt;&gt;"",B17="")</formula>
    </cfRule>
  </conditionalFormatting>
  <conditionalFormatting sqref="F3">
    <cfRule type="expression" dxfId="320" priority="76">
      <formula>F3="Data Not Entered On Set-Up Worksheet"</formula>
    </cfRule>
  </conditionalFormatting>
  <conditionalFormatting sqref="F12">
    <cfRule type="expression" dxfId="319" priority="75">
      <formula>F12="Data Not Entered On Set-Up Worksheet"</formula>
    </cfRule>
  </conditionalFormatting>
  <conditionalFormatting sqref="I3">
    <cfRule type="expression" dxfId="318" priority="74">
      <formula>I3="Data Not Entered On Set-Up Worksheet"</formula>
    </cfRule>
  </conditionalFormatting>
  <conditionalFormatting sqref="I9">
    <cfRule type="expression" dxfId="317" priority="73">
      <formula>I9="Data Not Entered On Set-Up Worksheet"</formula>
    </cfRule>
  </conditionalFormatting>
  <conditionalFormatting sqref="I11:I12">
    <cfRule type="expression" dxfId="316" priority="72">
      <formula>I11="Data Not Entered On Set-Up Worksheet"</formula>
    </cfRule>
  </conditionalFormatting>
  <conditionalFormatting sqref="L3">
    <cfRule type="expression" dxfId="315" priority="71">
      <formula>L3="Data Not Entered On Set-Up Worksheet"</formula>
    </cfRule>
  </conditionalFormatting>
  <conditionalFormatting sqref="L9">
    <cfRule type="expression" dxfId="314" priority="70">
      <formula>L9="Data Not Entered On Set-Up Worksheet"</formula>
    </cfRule>
  </conditionalFormatting>
  <conditionalFormatting sqref="L11:L12">
    <cfRule type="expression" dxfId="313" priority="69">
      <formula>L11="Data Not Entered On Set-Up Worksheet"</formula>
    </cfRule>
  </conditionalFormatting>
  <conditionalFormatting sqref="R3">
    <cfRule type="expression" dxfId="312" priority="68">
      <formula>R3="Data Not Entered On Set-Up Worksheet"</formula>
    </cfRule>
  </conditionalFormatting>
  <conditionalFormatting sqref="R9">
    <cfRule type="expression" dxfId="311" priority="67">
      <formula>R9="Data Not Entered On Set-Up Worksheet"</formula>
    </cfRule>
  </conditionalFormatting>
  <conditionalFormatting sqref="R11:R12">
    <cfRule type="expression" dxfId="310" priority="66">
      <formula>R11="Data Not Entered On Set-Up Worksheet"</formula>
    </cfRule>
  </conditionalFormatting>
  <conditionalFormatting sqref="U3">
    <cfRule type="expression" dxfId="309" priority="65">
      <formula>U3="Data Not Entered On Set-Up Worksheet"</formula>
    </cfRule>
  </conditionalFormatting>
  <conditionalFormatting sqref="U9">
    <cfRule type="expression" dxfId="308" priority="64">
      <formula>U9="Data Not Entered On Set-Up Worksheet"</formula>
    </cfRule>
  </conditionalFormatting>
  <conditionalFormatting sqref="U11:U12">
    <cfRule type="expression" dxfId="307" priority="63">
      <formula>U11="Data Not Entered On Set-Up Worksheet"</formula>
    </cfRule>
  </conditionalFormatting>
  <conditionalFormatting sqref="X3">
    <cfRule type="expression" dxfId="306" priority="62">
      <formula>X3="Data Not Entered On Set-Up Worksheet"</formula>
    </cfRule>
  </conditionalFormatting>
  <conditionalFormatting sqref="X9">
    <cfRule type="expression" dxfId="305" priority="61">
      <formula>X9="Data Not Entered On Set-Up Worksheet"</formula>
    </cfRule>
  </conditionalFormatting>
  <conditionalFormatting sqref="X11:X12">
    <cfRule type="expression" dxfId="304" priority="60">
      <formula>X11="Data Not Entered On Set-Up Worksheet"</formula>
    </cfRule>
  </conditionalFormatting>
  <conditionalFormatting sqref="E17:F40">
    <cfRule type="expression" dxfId="303" priority="2">
      <formula>$A17="Other"</formula>
    </cfRule>
    <cfRule type="expression" dxfId="302" priority="56">
      <formula>AND($A17&lt;&gt;"",E17="")</formula>
    </cfRule>
  </conditionalFormatting>
  <conditionalFormatting sqref="H17:I40">
    <cfRule type="expression" dxfId="301" priority="1">
      <formula>$A17="Other"</formula>
    </cfRule>
    <cfRule type="expression" dxfId="300" priority="55">
      <formula>AND($A17&lt;&gt;"",H17="")</formula>
    </cfRule>
  </conditionalFormatting>
  <conditionalFormatting sqref="Q17:R40">
    <cfRule type="expression" dxfId="299" priority="54">
      <formula>AND($A17&lt;&gt;"",Q17="")</formula>
    </cfRule>
  </conditionalFormatting>
  <conditionalFormatting sqref="T17:U40">
    <cfRule type="expression" dxfId="298" priority="53">
      <formula>AND($A17&lt;&gt;"",T17="")</formula>
    </cfRule>
  </conditionalFormatting>
  <conditionalFormatting sqref="W17:X40">
    <cfRule type="expression" dxfId="297" priority="52">
      <formula>AND($A17&lt;&gt;"",W17="")</formula>
    </cfRule>
  </conditionalFormatting>
  <conditionalFormatting sqref="AA3">
    <cfRule type="expression" dxfId="296" priority="50">
      <formula>AA3="Data Not Entered On Set-Up Worksheet"</formula>
    </cfRule>
  </conditionalFormatting>
  <conditionalFormatting sqref="AG3">
    <cfRule type="expression" dxfId="295" priority="47">
      <formula>AG3="Data Not Entered On Set-Up Worksheet"</formula>
    </cfRule>
  </conditionalFormatting>
  <conditionalFormatting sqref="AA9">
    <cfRule type="expression" dxfId="294" priority="49">
      <formula>AA9="Data Not Entered On Set-Up Worksheet"</formula>
    </cfRule>
  </conditionalFormatting>
  <conditionalFormatting sqref="AA11:AA12">
    <cfRule type="expression" dxfId="293" priority="48">
      <formula>AA11="Data Not Entered On Set-Up Worksheet"</formula>
    </cfRule>
  </conditionalFormatting>
  <conditionalFormatting sqref="AJ3">
    <cfRule type="expression" dxfId="292" priority="44">
      <formula>AJ3="Data Not Entered On Set-Up Worksheet"</formula>
    </cfRule>
  </conditionalFormatting>
  <conditionalFormatting sqref="AG9">
    <cfRule type="expression" dxfId="291" priority="46">
      <formula>AG9="Data Not Entered On Set-Up Worksheet"</formula>
    </cfRule>
  </conditionalFormatting>
  <conditionalFormatting sqref="AG11:AG12">
    <cfRule type="expression" dxfId="290" priority="45">
      <formula>AG11="Data Not Entered On Set-Up Worksheet"</formula>
    </cfRule>
  </conditionalFormatting>
  <conditionalFormatting sqref="AM3">
    <cfRule type="expression" dxfId="289" priority="41">
      <formula>AM3="Data Not Entered On Set-Up Worksheet"</formula>
    </cfRule>
  </conditionalFormatting>
  <conditionalFormatting sqref="AJ9">
    <cfRule type="expression" dxfId="288" priority="43">
      <formula>AJ9="Data Not Entered On Set-Up Worksheet"</formula>
    </cfRule>
  </conditionalFormatting>
  <conditionalFormatting sqref="AJ11:AJ12">
    <cfRule type="expression" dxfId="287" priority="42">
      <formula>AJ11="Data Not Entered On Set-Up Worksheet"</formula>
    </cfRule>
  </conditionalFormatting>
  <conditionalFormatting sqref="AM9">
    <cfRule type="expression" dxfId="286" priority="40">
      <formula>AM9="Data Not Entered On Set-Up Worksheet"</formula>
    </cfRule>
  </conditionalFormatting>
  <conditionalFormatting sqref="AM11:AM12">
    <cfRule type="expression" dxfId="285" priority="39">
      <formula>AM11="Data Not Entered On Set-Up Worksheet"</formula>
    </cfRule>
  </conditionalFormatting>
  <conditionalFormatting sqref="AF17:AG40">
    <cfRule type="expression" dxfId="284" priority="38">
      <formula>AND($A17&lt;&gt;"",AF17="")</formula>
    </cfRule>
  </conditionalFormatting>
  <conditionalFormatting sqref="AI17:AJ40">
    <cfRule type="expression" dxfId="283" priority="37">
      <formula>AND($A17&lt;&gt;"",AI17="")</formula>
    </cfRule>
  </conditionalFormatting>
  <conditionalFormatting sqref="AL17:AM40">
    <cfRule type="expression" dxfId="282" priority="36">
      <formula>AND($A17&lt;&gt;"",AL17="")</formula>
    </cfRule>
  </conditionalFormatting>
  <conditionalFormatting sqref="AP3">
    <cfRule type="expression" dxfId="281" priority="35">
      <formula>AP3="Data Not Entered On Set-Up Worksheet"</formula>
    </cfRule>
  </conditionalFormatting>
  <conditionalFormatting sqref="AP9">
    <cfRule type="expression" dxfId="280" priority="34">
      <formula>AP9="Data Not Entered On Set-Up Worksheet"</formula>
    </cfRule>
  </conditionalFormatting>
  <conditionalFormatting sqref="AP11:AP12">
    <cfRule type="expression" dxfId="279" priority="33">
      <formula>AP11="Data Not Entered On Set-Up Worksheet"</formula>
    </cfRule>
  </conditionalFormatting>
  <conditionalFormatting sqref="F10:F11">
    <cfRule type="expression" dxfId="278" priority="23">
      <formula>F10="Data Not Entered On Set-Up Worksheet"</formula>
    </cfRule>
  </conditionalFormatting>
  <conditionalFormatting sqref="C11">
    <cfRule type="expression" dxfId="277" priority="22">
      <formula>C11="Data Not Entered On Set-Up Worksheet"</formula>
    </cfRule>
  </conditionalFormatting>
  <conditionalFormatting sqref="O3">
    <cfRule type="expression" dxfId="276" priority="21">
      <formula>O3="Data Not Entered On Set-Up Worksheet"</formula>
    </cfRule>
  </conditionalFormatting>
  <conditionalFormatting sqref="O9">
    <cfRule type="expression" dxfId="275" priority="20">
      <formula>O9="Data Not Entered On Set-Up Worksheet"</formula>
    </cfRule>
  </conditionalFormatting>
  <conditionalFormatting sqref="O11:O12">
    <cfRule type="expression" dxfId="274" priority="19">
      <formula>O11="Data Not Entered On Set-Up Worksheet"</formula>
    </cfRule>
  </conditionalFormatting>
  <conditionalFormatting sqref="AD3">
    <cfRule type="expression" dxfId="273" priority="18">
      <formula>AD3="Data Not Entered On Set-Up Worksheet"</formula>
    </cfRule>
  </conditionalFormatting>
  <conditionalFormatting sqref="AD9">
    <cfRule type="expression" dxfId="272" priority="17">
      <formula>AD9="Data Not Entered On Set-Up Worksheet"</formula>
    </cfRule>
  </conditionalFormatting>
  <conditionalFormatting sqref="AD11:AD12">
    <cfRule type="expression" dxfId="271" priority="16">
      <formula>AD11="Data Not Entered On Set-Up Worksheet"</formula>
    </cfRule>
  </conditionalFormatting>
  <conditionalFormatting sqref="AS3">
    <cfRule type="expression" dxfId="270" priority="15">
      <formula>AS3="Data Not Entered On Set-Up Worksheet"</formula>
    </cfRule>
  </conditionalFormatting>
  <conditionalFormatting sqref="AS9">
    <cfRule type="expression" dxfId="269" priority="14">
      <formula>AS9="Data Not Entered On Set-Up Worksheet"</formula>
    </cfRule>
  </conditionalFormatting>
  <conditionalFormatting sqref="AS11:AS12">
    <cfRule type="expression" dxfId="268" priority="13">
      <formula>AS11="Data Not Entered On Set-Up Worksheet"</formula>
    </cfRule>
  </conditionalFormatting>
  <pageMargins left="0.5" right="0.5" top="0.5" bottom="0.5" header="0.3" footer="0.3"/>
  <pageSetup scale="5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F4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46" width="14.7109375" style="22" customWidth="1"/>
    <col min="47" max="47" width="8.85546875" style="22" bestFit="1" customWidth="1"/>
    <col min="48" max="16384" width="9.140625" style="22"/>
  </cols>
  <sheetData>
    <row r="1" spans="1:58" ht="15" customHeight="1">
      <c r="A1" s="36" t="s">
        <v>28</v>
      </c>
      <c r="N1" s="30"/>
      <c r="Q1" s="30" t="s">
        <v>332</v>
      </c>
      <c r="AC1" s="30"/>
      <c r="AF1" s="30" t="s">
        <v>332</v>
      </c>
      <c r="AR1" s="30"/>
    </row>
    <row r="2" spans="1:58" ht="15" customHeight="1">
      <c r="A2" s="36" t="s">
        <v>198</v>
      </c>
      <c r="N2" s="321"/>
      <c r="Q2" s="321" t="s">
        <v>333</v>
      </c>
      <c r="AC2" s="321"/>
      <c r="AF2" s="321" t="s">
        <v>333</v>
      </c>
      <c r="AR2" s="321"/>
    </row>
    <row r="3" spans="1:58" ht="15" customHeight="1">
      <c r="A3" s="30" t="s">
        <v>196</v>
      </c>
      <c r="C3" s="147">
        <f>IF('Set-Up Worksheet'!F3="","Data Not Entered On Set-Up Worksheet",'Set-Up Worksheet'!F3)</f>
        <v>2017</v>
      </c>
      <c r="F3" s="38"/>
      <c r="I3" s="38"/>
      <c r="L3" s="38"/>
      <c r="O3" s="147"/>
      <c r="R3" s="147">
        <f t="shared" ref="R3:R11" si="0">C3</f>
        <v>2017</v>
      </c>
      <c r="U3" s="38"/>
      <c r="X3" s="38"/>
      <c r="AA3" s="38"/>
      <c r="AD3" s="147"/>
      <c r="AG3" s="147">
        <f t="shared" ref="AG3:AG11" si="1">C3</f>
        <v>2017</v>
      </c>
      <c r="AJ3" s="38"/>
      <c r="AM3" s="38"/>
      <c r="AP3" s="38"/>
      <c r="AS3" s="147"/>
    </row>
    <row r="4" spans="1:58" ht="15" customHeight="1">
      <c r="A4" s="30" t="s">
        <v>197</v>
      </c>
      <c r="C4" s="147" t="str">
        <f>IF('Set-Up Worksheet'!F4="","Data Not Entered On Set-Up Worksheet",'Set-Up Worksheet'!F4)</f>
        <v>1st Quarter</v>
      </c>
      <c r="F4" s="32"/>
      <c r="I4" s="32"/>
      <c r="L4" s="32"/>
      <c r="O4" s="147"/>
      <c r="R4" s="147" t="str">
        <f t="shared" si="0"/>
        <v>1st Quarter</v>
      </c>
      <c r="U4" s="32"/>
      <c r="X4" s="32"/>
      <c r="AA4" s="32"/>
      <c r="AD4" s="147"/>
      <c r="AG4" s="147" t="str">
        <f t="shared" si="1"/>
        <v>1st Quarter</v>
      </c>
      <c r="AJ4" s="32"/>
      <c r="AM4" s="32"/>
      <c r="AP4" s="32"/>
      <c r="AS4" s="147"/>
    </row>
    <row r="5" spans="1:58" ht="15" customHeight="1">
      <c r="A5" s="30"/>
      <c r="C5" s="32"/>
      <c r="F5" s="32"/>
      <c r="I5" s="32"/>
      <c r="L5" s="32"/>
      <c r="O5" s="39"/>
      <c r="R5" s="39"/>
      <c r="U5" s="32"/>
      <c r="X5" s="32"/>
      <c r="AA5" s="32"/>
      <c r="AD5" s="39"/>
      <c r="AG5" s="39"/>
      <c r="AJ5" s="32"/>
      <c r="AM5" s="32"/>
      <c r="AP5" s="32"/>
      <c r="AS5" s="39"/>
    </row>
    <row r="6" spans="1:58" ht="15" customHeight="1">
      <c r="A6" s="30" t="s">
        <v>340</v>
      </c>
      <c r="C6" s="32"/>
      <c r="F6" s="32"/>
      <c r="I6" s="32"/>
      <c r="L6" s="32"/>
      <c r="N6" s="30"/>
      <c r="O6" s="39"/>
      <c r="Q6" s="30" t="s">
        <v>347</v>
      </c>
      <c r="R6" s="39"/>
      <c r="U6" s="32"/>
      <c r="X6" s="32"/>
      <c r="AA6" s="32"/>
      <c r="AC6" s="30"/>
      <c r="AD6" s="39"/>
      <c r="AF6" s="30" t="s">
        <v>347</v>
      </c>
      <c r="AG6" s="39"/>
      <c r="AJ6" s="32"/>
      <c r="AM6" s="32"/>
      <c r="AP6" s="32"/>
      <c r="AR6" s="30"/>
      <c r="AS6" s="39"/>
    </row>
    <row r="7" spans="1:58" ht="15" customHeight="1">
      <c r="A7" s="30" t="s">
        <v>348</v>
      </c>
      <c r="C7" s="32"/>
      <c r="F7" s="32"/>
      <c r="I7" s="32"/>
      <c r="L7" s="32"/>
      <c r="N7" s="321"/>
      <c r="O7" s="39"/>
      <c r="Q7" s="321" t="s">
        <v>349</v>
      </c>
      <c r="R7" s="39"/>
      <c r="U7" s="32"/>
      <c r="X7" s="32"/>
      <c r="AA7" s="32"/>
      <c r="AC7" s="321"/>
      <c r="AD7" s="39"/>
      <c r="AF7" s="321" t="s">
        <v>349</v>
      </c>
      <c r="AG7" s="39"/>
      <c r="AJ7" s="32"/>
      <c r="AM7" s="32"/>
      <c r="AP7" s="32"/>
      <c r="AR7" s="321"/>
      <c r="AS7" s="39"/>
    </row>
    <row r="8" spans="1:58" ht="15" customHeight="1">
      <c r="A8" s="30"/>
      <c r="C8" s="32"/>
      <c r="F8" s="32"/>
      <c r="I8" s="32"/>
      <c r="L8" s="32"/>
      <c r="O8" s="39"/>
      <c r="R8" s="39"/>
      <c r="U8" s="32"/>
      <c r="X8" s="32"/>
      <c r="AA8" s="32"/>
      <c r="AD8" s="39"/>
      <c r="AG8" s="39"/>
      <c r="AJ8" s="32"/>
      <c r="AM8" s="32"/>
      <c r="AP8" s="32"/>
      <c r="AS8" s="39"/>
      <c r="AX8" s="54"/>
      <c r="AY8" s="54"/>
      <c r="AZ8" s="55"/>
      <c r="BA8" s="54"/>
      <c r="BB8" s="54"/>
      <c r="BC8" s="54"/>
      <c r="BD8" s="54"/>
      <c r="BE8" s="30"/>
      <c r="BF8" s="35"/>
    </row>
    <row r="9" spans="1:58" ht="15" customHeight="1">
      <c r="A9" s="30" t="s">
        <v>29</v>
      </c>
      <c r="C9" s="39" t="str">
        <f>IF('Set-Up Worksheet'!E7="","Data Not Entered On Set-Up Worksheet",'Set-Up Worksheet'!E7)</f>
        <v>Data Not Entered On Set-Up Worksheet</v>
      </c>
      <c r="I9" s="39"/>
      <c r="L9" s="39"/>
      <c r="O9" s="39"/>
      <c r="R9" s="39" t="str">
        <f t="shared" si="0"/>
        <v>Data Not Entered On Set-Up Worksheet</v>
      </c>
      <c r="U9" s="39"/>
      <c r="X9" s="39"/>
      <c r="AA9" s="39"/>
      <c r="AD9" s="39"/>
      <c r="AG9" s="39" t="str">
        <f t="shared" si="1"/>
        <v>Data Not Entered On Set-Up Worksheet</v>
      </c>
      <c r="AJ9" s="39"/>
      <c r="AM9" s="39"/>
      <c r="AP9" s="39"/>
      <c r="AS9" s="39"/>
    </row>
    <row r="10" spans="1:58" ht="15" customHeight="1">
      <c r="A10" s="30" t="s">
        <v>9</v>
      </c>
      <c r="C10" s="32" t="s">
        <v>10</v>
      </c>
      <c r="F10" s="79" t="s">
        <v>449</v>
      </c>
      <c r="I10" s="32"/>
      <c r="L10" s="32"/>
      <c r="O10" s="39"/>
      <c r="R10" s="39" t="str">
        <f t="shared" si="0"/>
        <v>Behavioral Health</v>
      </c>
      <c r="U10" s="32"/>
      <c r="X10" s="32"/>
      <c r="AA10" s="32"/>
      <c r="AD10" s="39"/>
      <c r="AG10" s="39" t="str">
        <f t="shared" si="1"/>
        <v>Behavioral Health</v>
      </c>
      <c r="AJ10" s="32"/>
      <c r="AM10" s="32"/>
      <c r="AP10" s="32"/>
      <c r="AS10" s="39"/>
    </row>
    <row r="11" spans="1:58" ht="15" customHeight="1">
      <c r="A11" s="30" t="s">
        <v>199</v>
      </c>
      <c r="C11" s="40" t="str">
        <f>IF(C4="Data Not Entered On Set-Up Worksheet","Data Not Entered On Set-Up Worksheet",IF(C4="1st Quarter",'Report Schedule'!D31,IF(C4="2nd Quarter",'Report Schedule'!E31,IF(C4="3rd Quarter",'Report Schedule'!F31,IF(C4="4th Quarter",'Report Schedule'!G31,"")))))</f>
        <v>Apr - Jun 2016</v>
      </c>
      <c r="F11" s="79"/>
      <c r="I11" s="40"/>
      <c r="L11" s="40"/>
      <c r="O11" s="40"/>
      <c r="R11" s="40" t="str">
        <f t="shared" si="0"/>
        <v>Apr - Jun 2016</v>
      </c>
      <c r="U11" s="40"/>
      <c r="X11" s="40"/>
      <c r="AA11" s="40"/>
      <c r="AD11" s="40"/>
      <c r="AG11" s="40" t="str">
        <f t="shared" si="1"/>
        <v>Apr - Jun 2016</v>
      </c>
      <c r="AJ11" s="40"/>
      <c r="AM11" s="40"/>
      <c r="AP11" s="40"/>
      <c r="AS11" s="40"/>
    </row>
    <row r="12" spans="1:58" ht="15" customHeight="1" thickBot="1">
      <c r="A12" s="30"/>
      <c r="C12" s="40"/>
      <c r="F12" s="79"/>
      <c r="I12" s="40"/>
      <c r="L12" s="40"/>
      <c r="O12" s="40"/>
      <c r="R12" s="40"/>
      <c r="U12" s="40"/>
      <c r="X12" s="40"/>
      <c r="AA12" s="40"/>
      <c r="AD12" s="40"/>
      <c r="AG12" s="40"/>
      <c r="AJ12" s="40"/>
      <c r="AM12" s="40"/>
      <c r="AP12" s="40"/>
      <c r="AS12" s="40"/>
    </row>
    <row r="13" spans="1:58" ht="18" customHeight="1" thickBot="1">
      <c r="A13" s="226" t="s">
        <v>245</v>
      </c>
      <c r="B13" s="384" t="s">
        <v>39</v>
      </c>
      <c r="C13" s="235"/>
      <c r="D13" s="235"/>
      <c r="E13" s="315"/>
      <c r="F13" s="235"/>
      <c r="G13" s="235"/>
      <c r="H13" s="235"/>
      <c r="I13" s="235"/>
      <c r="J13" s="235"/>
      <c r="K13" s="235"/>
      <c r="L13" s="235"/>
      <c r="M13" s="235"/>
      <c r="N13" s="315"/>
      <c r="O13" s="235"/>
      <c r="P13" s="236"/>
      <c r="Q13" s="383" t="s">
        <v>244</v>
      </c>
      <c r="R13" s="231"/>
      <c r="S13" s="231"/>
      <c r="T13" s="82"/>
      <c r="U13" s="231"/>
      <c r="V13" s="231"/>
      <c r="W13" s="231"/>
      <c r="X13" s="231"/>
      <c r="Y13" s="231"/>
      <c r="Z13" s="231"/>
      <c r="AA13" s="231"/>
      <c r="AB13" s="231"/>
      <c r="AC13" s="82"/>
      <c r="AD13" s="231"/>
      <c r="AE13" s="232"/>
      <c r="AF13" s="384" t="s">
        <v>345</v>
      </c>
      <c r="AG13" s="235"/>
      <c r="AH13" s="235"/>
      <c r="AI13" s="315"/>
      <c r="AJ13" s="235"/>
      <c r="AK13" s="235"/>
      <c r="AL13" s="235"/>
      <c r="AM13" s="235"/>
      <c r="AN13" s="235"/>
      <c r="AO13" s="235"/>
      <c r="AP13" s="235"/>
      <c r="AQ13" s="235"/>
      <c r="AR13" s="315"/>
      <c r="AS13" s="235"/>
      <c r="AT13" s="236"/>
    </row>
    <row r="14" spans="1:58" s="35" customFormat="1" ht="18" customHeight="1" thickBot="1">
      <c r="A14" s="233" t="s">
        <v>255</v>
      </c>
      <c r="B14" s="234" t="s">
        <v>249</v>
      </c>
      <c r="C14" s="237"/>
      <c r="D14" s="238"/>
      <c r="E14" s="234" t="s">
        <v>146</v>
      </c>
      <c r="F14" s="237"/>
      <c r="G14" s="238"/>
      <c r="H14" s="234" t="s">
        <v>250</v>
      </c>
      <c r="I14" s="237"/>
      <c r="J14" s="238"/>
      <c r="K14" s="234" t="s">
        <v>253</v>
      </c>
      <c r="L14" s="237"/>
      <c r="M14" s="238"/>
      <c r="N14" s="234" t="s">
        <v>147</v>
      </c>
      <c r="O14" s="237"/>
      <c r="P14" s="238"/>
      <c r="Q14" s="63" t="s">
        <v>249</v>
      </c>
      <c r="R14" s="64"/>
      <c r="S14" s="65"/>
      <c r="T14" s="63" t="s">
        <v>146</v>
      </c>
      <c r="U14" s="64"/>
      <c r="V14" s="65"/>
      <c r="W14" s="63" t="s">
        <v>250</v>
      </c>
      <c r="X14" s="64"/>
      <c r="Y14" s="65"/>
      <c r="Z14" s="63" t="s">
        <v>253</v>
      </c>
      <c r="AA14" s="64"/>
      <c r="AB14" s="65"/>
      <c r="AC14" s="63" t="s">
        <v>147</v>
      </c>
      <c r="AD14" s="64"/>
      <c r="AE14" s="65"/>
      <c r="AF14" s="234" t="s">
        <v>249</v>
      </c>
      <c r="AG14" s="237"/>
      <c r="AH14" s="238"/>
      <c r="AI14" s="234" t="s">
        <v>146</v>
      </c>
      <c r="AJ14" s="237"/>
      <c r="AK14" s="238"/>
      <c r="AL14" s="234" t="s">
        <v>250</v>
      </c>
      <c r="AM14" s="237"/>
      <c r="AN14" s="238"/>
      <c r="AO14" s="234" t="s">
        <v>253</v>
      </c>
      <c r="AP14" s="237"/>
      <c r="AQ14" s="238"/>
      <c r="AR14" s="234" t="s">
        <v>147</v>
      </c>
      <c r="AS14" s="237"/>
      <c r="AT14" s="238"/>
    </row>
    <row r="15" spans="1:58" s="35" customFormat="1" ht="13.5" thickBot="1">
      <c r="A15" s="30"/>
      <c r="B15" s="56" t="s">
        <v>3</v>
      </c>
      <c r="C15" s="57" t="s">
        <v>4</v>
      </c>
      <c r="D15" s="58" t="s">
        <v>5</v>
      </c>
      <c r="E15" s="56" t="s">
        <v>3</v>
      </c>
      <c r="F15" s="57" t="s">
        <v>4</v>
      </c>
      <c r="G15" s="58" t="s">
        <v>5</v>
      </c>
      <c r="H15" s="56" t="s">
        <v>3</v>
      </c>
      <c r="I15" s="57" t="s">
        <v>4</v>
      </c>
      <c r="J15" s="58" t="s">
        <v>5</v>
      </c>
      <c r="K15" s="56" t="s">
        <v>3</v>
      </c>
      <c r="L15" s="57" t="s">
        <v>4</v>
      </c>
      <c r="M15" s="58" t="s">
        <v>5</v>
      </c>
      <c r="N15" s="56" t="s">
        <v>3</v>
      </c>
      <c r="O15" s="57" t="s">
        <v>4</v>
      </c>
      <c r="P15" s="58" t="s">
        <v>5</v>
      </c>
      <c r="Q15" s="56" t="s">
        <v>3</v>
      </c>
      <c r="R15" s="57" t="s">
        <v>4</v>
      </c>
      <c r="S15" s="58" t="s">
        <v>5</v>
      </c>
      <c r="T15" s="56" t="s">
        <v>3</v>
      </c>
      <c r="U15" s="57" t="s">
        <v>4</v>
      </c>
      <c r="V15" s="58" t="s">
        <v>5</v>
      </c>
      <c r="W15" s="56" t="s">
        <v>3</v>
      </c>
      <c r="X15" s="57" t="s">
        <v>4</v>
      </c>
      <c r="Y15" s="58" t="s">
        <v>5</v>
      </c>
      <c r="Z15" s="56" t="s">
        <v>3</v>
      </c>
      <c r="AA15" s="57" t="s">
        <v>4</v>
      </c>
      <c r="AB15" s="58" t="s">
        <v>5</v>
      </c>
      <c r="AC15" s="56" t="s">
        <v>3</v>
      </c>
      <c r="AD15" s="57" t="s">
        <v>4</v>
      </c>
      <c r="AE15" s="58" t="s">
        <v>5</v>
      </c>
      <c r="AF15" s="56" t="s">
        <v>3</v>
      </c>
      <c r="AG15" s="57" t="s">
        <v>4</v>
      </c>
      <c r="AH15" s="58" t="s">
        <v>5</v>
      </c>
      <c r="AI15" s="56" t="s">
        <v>3</v>
      </c>
      <c r="AJ15" s="57" t="s">
        <v>4</v>
      </c>
      <c r="AK15" s="58" t="s">
        <v>5</v>
      </c>
      <c r="AL15" s="56" t="s">
        <v>3</v>
      </c>
      <c r="AM15" s="57" t="s">
        <v>4</v>
      </c>
      <c r="AN15" s="58" t="s">
        <v>5</v>
      </c>
      <c r="AO15" s="56" t="s">
        <v>3</v>
      </c>
      <c r="AP15" s="57" t="s">
        <v>4</v>
      </c>
      <c r="AQ15" s="58" t="s">
        <v>5</v>
      </c>
      <c r="AR15" s="56" t="s">
        <v>3</v>
      </c>
      <c r="AS15" s="57" t="s">
        <v>4</v>
      </c>
      <c r="AT15" s="58" t="s">
        <v>5</v>
      </c>
      <c r="AU15" s="33"/>
      <c r="AV15" s="30"/>
      <c r="AW15" s="30"/>
      <c r="AX15" s="30"/>
      <c r="AY15" s="30"/>
      <c r="AZ15" s="30"/>
    </row>
    <row r="16" spans="1:58" ht="39.950000000000003" customHeight="1">
      <c r="A16" s="75" t="s">
        <v>43</v>
      </c>
      <c r="B16" s="239" t="s">
        <v>424</v>
      </c>
      <c r="C16" s="240" t="s">
        <v>41</v>
      </c>
      <c r="D16" s="241" t="s">
        <v>11</v>
      </c>
      <c r="E16" s="239" t="s">
        <v>424</v>
      </c>
      <c r="F16" s="240" t="s">
        <v>41</v>
      </c>
      <c r="G16" s="241" t="s">
        <v>11</v>
      </c>
      <c r="H16" s="239" t="s">
        <v>424</v>
      </c>
      <c r="I16" s="240" t="s">
        <v>41</v>
      </c>
      <c r="J16" s="241" t="s">
        <v>11</v>
      </c>
      <c r="K16" s="239" t="s">
        <v>424</v>
      </c>
      <c r="L16" s="240" t="s">
        <v>41</v>
      </c>
      <c r="M16" s="241" t="s">
        <v>11</v>
      </c>
      <c r="N16" s="239" t="s">
        <v>424</v>
      </c>
      <c r="O16" s="240" t="s">
        <v>41</v>
      </c>
      <c r="P16" s="241" t="s">
        <v>11</v>
      </c>
      <c r="Q16" s="66" t="s">
        <v>424</v>
      </c>
      <c r="R16" s="67" t="s">
        <v>41</v>
      </c>
      <c r="S16" s="68" t="s">
        <v>11</v>
      </c>
      <c r="T16" s="66" t="s">
        <v>424</v>
      </c>
      <c r="U16" s="67" t="s">
        <v>30</v>
      </c>
      <c r="V16" s="68" t="s">
        <v>11</v>
      </c>
      <c r="W16" s="66" t="s">
        <v>424</v>
      </c>
      <c r="X16" s="67" t="s">
        <v>30</v>
      </c>
      <c r="Y16" s="68" t="s">
        <v>11</v>
      </c>
      <c r="Z16" s="66" t="s">
        <v>424</v>
      </c>
      <c r="AA16" s="67" t="s">
        <v>30</v>
      </c>
      <c r="AB16" s="68" t="s">
        <v>11</v>
      </c>
      <c r="AC16" s="66" t="s">
        <v>424</v>
      </c>
      <c r="AD16" s="67" t="s">
        <v>41</v>
      </c>
      <c r="AE16" s="68" t="s">
        <v>11</v>
      </c>
      <c r="AF16" s="239" t="s">
        <v>424</v>
      </c>
      <c r="AG16" s="240" t="s">
        <v>30</v>
      </c>
      <c r="AH16" s="241" t="s">
        <v>11</v>
      </c>
      <c r="AI16" s="239" t="s">
        <v>424</v>
      </c>
      <c r="AJ16" s="240" t="s">
        <v>30</v>
      </c>
      <c r="AK16" s="241" t="s">
        <v>11</v>
      </c>
      <c r="AL16" s="239" t="s">
        <v>424</v>
      </c>
      <c r="AM16" s="240" t="s">
        <v>30</v>
      </c>
      <c r="AN16" s="241" t="s">
        <v>11</v>
      </c>
      <c r="AO16" s="239" t="s">
        <v>424</v>
      </c>
      <c r="AP16" s="240" t="s">
        <v>30</v>
      </c>
      <c r="AQ16" s="241" t="s">
        <v>11</v>
      </c>
      <c r="AR16" s="239" t="s">
        <v>424</v>
      </c>
      <c r="AS16" s="240" t="s">
        <v>41</v>
      </c>
      <c r="AT16" s="241" t="s">
        <v>11</v>
      </c>
    </row>
    <row r="17" spans="1:46" ht="18" customHeight="1">
      <c r="A17" s="76" t="str">
        <f>IF($C$9="Data Not Entered On Set-Up Worksheet","",IF(OR(VLOOKUP($C$9,County_Lookup,2,FALSE)="",VLOOKUP($C$9,County_Lookup,2,FALSE)=0),"",VLOOKUP($C$9,County_Lookup,2,FALSE)))</f>
        <v/>
      </c>
      <c r="B17" s="69"/>
      <c r="C17" s="61"/>
      <c r="D17" s="324" t="str">
        <f>IF($A17="","",IF(C17=0,0,B17/C17))</f>
        <v/>
      </c>
      <c r="E17" s="69"/>
      <c r="F17" s="61"/>
      <c r="G17" s="324" t="str">
        <f>IF($A17="","",IF(F17=0,0,E17/F17))</f>
        <v/>
      </c>
      <c r="H17" s="69"/>
      <c r="I17" s="61"/>
      <c r="J17" s="324" t="str">
        <f>IF($A17="","",IF(I17=0,0,H17/I17))</f>
        <v/>
      </c>
      <c r="K17" s="74" t="str">
        <f>IF($A17="","",SUM(E17,H17))</f>
        <v/>
      </c>
      <c r="L17" s="62" t="str">
        <f>IF($A17="","",SUM(F17,I17))</f>
        <v/>
      </c>
      <c r="M17" s="324" t="str">
        <f>IF($A17="","",IF(L17=0,0,K17/L17))</f>
        <v/>
      </c>
      <c r="N17" s="74" t="str">
        <f t="shared" ref="N17:N40" si="2">IF($A17="","",SUM(B17,E17,H17))</f>
        <v/>
      </c>
      <c r="O17" s="62" t="str">
        <f t="shared" ref="O17:O40" si="3">IF($A17="","",SUM(C17,F17,I17))</f>
        <v/>
      </c>
      <c r="P17" s="324" t="str">
        <f>IF($A17="","",IF(O17=0,0,N17/O17))</f>
        <v/>
      </c>
      <c r="Q17" s="69"/>
      <c r="R17" s="61"/>
      <c r="S17" s="324" t="str">
        <f>IF($A17="","",IF(R17=0,0,Q17/R17))</f>
        <v/>
      </c>
      <c r="T17" s="69"/>
      <c r="U17" s="61"/>
      <c r="V17" s="324" t="str">
        <f>IF($A17="","",IF(U17=0,0,T17/U17))</f>
        <v/>
      </c>
      <c r="W17" s="69"/>
      <c r="X17" s="61"/>
      <c r="Y17" s="324" t="str">
        <f>IF($A17="","",IF(X17=0,0,W17/X17))</f>
        <v/>
      </c>
      <c r="Z17" s="74" t="str">
        <f>IF($A17="","",SUM(T17,W17))</f>
        <v/>
      </c>
      <c r="AA17" s="62" t="str">
        <f>IF($A17="","",SUM(U17,X17))</f>
        <v/>
      </c>
      <c r="AB17" s="324" t="str">
        <f>IF($A17="","",IF(AA17=0,0,Z17/AA17))</f>
        <v/>
      </c>
      <c r="AC17" s="74" t="str">
        <f t="shared" ref="AC17:AC40" si="4">IF($A17="","",SUM(Q17,T17,W17))</f>
        <v/>
      </c>
      <c r="AD17" s="62" t="str">
        <f t="shared" ref="AD17:AD40" si="5">IF($A17="","",SUM(R17,U17,X17))</f>
        <v/>
      </c>
      <c r="AE17" s="324" t="str">
        <f>IF($A17="","",IF(AD17=0,0,AC17/AD17))</f>
        <v/>
      </c>
      <c r="AF17" s="69"/>
      <c r="AG17" s="61"/>
      <c r="AH17" s="324" t="str">
        <f>IF($A17="","",IF(AG17=0,0,AF17/AG17))</f>
        <v/>
      </c>
      <c r="AI17" s="69"/>
      <c r="AJ17" s="61"/>
      <c r="AK17" s="324" t="str">
        <f>IF($A17="","",IF(AJ17=0,0,AI17/AJ17))</f>
        <v/>
      </c>
      <c r="AL17" s="69"/>
      <c r="AM17" s="61"/>
      <c r="AN17" s="324" t="str">
        <f>IF($A17="","",IF(AM17=0,0,AL17/AM17))</f>
        <v/>
      </c>
      <c r="AO17" s="74" t="str">
        <f>IF($A17="","",SUM(AI17,AL17))</f>
        <v/>
      </c>
      <c r="AP17" s="62" t="str">
        <f>IF($A17="","",SUM(AJ17,AM17))</f>
        <v/>
      </c>
      <c r="AQ17" s="324" t="str">
        <f>IF($A17="","",IF(AP17=0,0,AO17/AP17))</f>
        <v/>
      </c>
      <c r="AR17" s="74" t="str">
        <f t="shared" ref="AR17:AR40" si="6">IF($A17="","",SUM(AF17,AI17,AL17))</f>
        <v/>
      </c>
      <c r="AS17" s="62" t="str">
        <f t="shared" ref="AS17:AS40" si="7">IF($A17="","",SUM(AG17,AJ17,AM17))</f>
        <v/>
      </c>
      <c r="AT17" s="324" t="str">
        <f>IF($A17="","",IF(AS17=0,0,AR17/AS17))</f>
        <v/>
      </c>
    </row>
    <row r="18" spans="1:46" ht="18" customHeight="1">
      <c r="A18" s="77" t="str">
        <f>IF($C$9="Data Not Entered On Set-Up Worksheet","",IF(OR(VLOOKUP($C$9,County_Lookup,3,FALSE)="",VLOOKUP($C$9,County_Lookup,3,FALSE)=0),"",VLOOKUP($C$9,County_Lookup,3,FALSE)))</f>
        <v/>
      </c>
      <c r="B18" s="69"/>
      <c r="C18" s="61"/>
      <c r="D18" s="324" t="str">
        <f t="shared" ref="D18:D40" si="8">IF($A18="","",IF(C18=0,0,B18/C18))</f>
        <v/>
      </c>
      <c r="E18" s="69"/>
      <c r="F18" s="61"/>
      <c r="G18" s="324" t="str">
        <f t="shared" ref="G18:G40" si="9">IF($A18="","",IF(F18=0,0,E18/F18))</f>
        <v/>
      </c>
      <c r="H18" s="69"/>
      <c r="I18" s="61"/>
      <c r="J18" s="324" t="str">
        <f t="shared" ref="J18:J40" si="10">IF($A18="","",IF(I18=0,0,H18/I18))</f>
        <v/>
      </c>
      <c r="K18" s="74" t="str">
        <f t="shared" ref="K18:L40" si="11">IF($A18="","",SUM(E18,H18))</f>
        <v/>
      </c>
      <c r="L18" s="62" t="str">
        <f t="shared" si="11"/>
        <v/>
      </c>
      <c r="M18" s="324" t="str">
        <f t="shared" ref="M18:M40" si="12">IF($A18="","",IF(L18=0,0,K18/L18))</f>
        <v/>
      </c>
      <c r="N18" s="74" t="str">
        <f t="shared" si="2"/>
        <v/>
      </c>
      <c r="O18" s="62" t="str">
        <f t="shared" si="3"/>
        <v/>
      </c>
      <c r="P18" s="324" t="str">
        <f t="shared" ref="P18:P40" si="13">IF($A18="","",IF(O18=0,0,N18/O18))</f>
        <v/>
      </c>
      <c r="Q18" s="69"/>
      <c r="R18" s="61"/>
      <c r="S18" s="324" t="str">
        <f t="shared" ref="S18:S40" si="14">IF($A18="","",IF(R18=0,0,Q18/R18))</f>
        <v/>
      </c>
      <c r="T18" s="69"/>
      <c r="U18" s="61"/>
      <c r="V18" s="324" t="str">
        <f t="shared" ref="V18:V40" si="15">IF($A18="","",IF(U18=0,0,T18/U18))</f>
        <v/>
      </c>
      <c r="W18" s="69"/>
      <c r="X18" s="61"/>
      <c r="Y18" s="324" t="str">
        <f t="shared" ref="Y18:Y40" si="16">IF($A18="","",IF(X18=0,0,W18/X18))</f>
        <v/>
      </c>
      <c r="Z18" s="74" t="str">
        <f t="shared" ref="Z18:AA40" si="17">IF($A18="","",SUM(T18,W18))</f>
        <v/>
      </c>
      <c r="AA18" s="62" t="str">
        <f t="shared" si="17"/>
        <v/>
      </c>
      <c r="AB18" s="324" t="str">
        <f t="shared" ref="AB18:AB40" si="18">IF($A18="","",IF(AA18=0,0,Z18/AA18))</f>
        <v/>
      </c>
      <c r="AC18" s="74" t="str">
        <f t="shared" si="4"/>
        <v/>
      </c>
      <c r="AD18" s="62" t="str">
        <f t="shared" si="5"/>
        <v/>
      </c>
      <c r="AE18" s="324" t="str">
        <f t="shared" ref="AE18:AE40" si="19">IF($A18="","",IF(AD18=0,0,AC18/AD18))</f>
        <v/>
      </c>
      <c r="AF18" s="69"/>
      <c r="AG18" s="61"/>
      <c r="AH18" s="324" t="str">
        <f t="shared" ref="AH18:AH40" si="20">IF($A18="","",IF(AG18=0,0,AF18/AG18))</f>
        <v/>
      </c>
      <c r="AI18" s="69"/>
      <c r="AJ18" s="61"/>
      <c r="AK18" s="324" t="str">
        <f t="shared" ref="AK18:AK40" si="21">IF($A18="","",IF(AJ18=0,0,AI18/AJ18))</f>
        <v/>
      </c>
      <c r="AL18" s="69"/>
      <c r="AM18" s="61"/>
      <c r="AN18" s="324" t="str">
        <f t="shared" ref="AN18:AN40" si="22">IF($A18="","",IF(AM18=0,0,AL18/AM18))</f>
        <v/>
      </c>
      <c r="AO18" s="74" t="str">
        <f t="shared" ref="AO18:AP40" si="23">IF($A18="","",SUM(AI18,AL18))</f>
        <v/>
      </c>
      <c r="AP18" s="62" t="str">
        <f t="shared" si="23"/>
        <v/>
      </c>
      <c r="AQ18" s="324" t="str">
        <f t="shared" ref="AQ18:AQ40" si="24">IF($A18="","",IF(AP18=0,0,AO18/AP18))</f>
        <v/>
      </c>
      <c r="AR18" s="74" t="str">
        <f t="shared" si="6"/>
        <v/>
      </c>
      <c r="AS18" s="62" t="str">
        <f t="shared" si="7"/>
        <v/>
      </c>
      <c r="AT18" s="324" t="str">
        <f t="shared" ref="AT18:AT40" si="25">IF($A18="","",IF(AS18=0,0,AR18/AS18))</f>
        <v/>
      </c>
    </row>
    <row r="19" spans="1:46" ht="18" customHeight="1">
      <c r="A19" s="77" t="str">
        <f>IF($C$9="Data Not Entered On Set-Up Worksheet","",IF(OR(VLOOKUP($C$9,County_Lookup,4,FALSE)="",VLOOKUP($C$9,County_Lookup,4,FALSE)=0),"",VLOOKUP($C$9,County_Lookup,4,FALSE)))</f>
        <v/>
      </c>
      <c r="B19" s="69"/>
      <c r="C19" s="61"/>
      <c r="D19" s="324" t="str">
        <f t="shared" si="8"/>
        <v/>
      </c>
      <c r="E19" s="69"/>
      <c r="F19" s="61"/>
      <c r="G19" s="324" t="str">
        <f t="shared" si="9"/>
        <v/>
      </c>
      <c r="H19" s="69"/>
      <c r="I19" s="61"/>
      <c r="J19" s="324" t="str">
        <f t="shared" si="10"/>
        <v/>
      </c>
      <c r="K19" s="74" t="str">
        <f t="shared" si="11"/>
        <v/>
      </c>
      <c r="L19" s="62" t="str">
        <f t="shared" si="11"/>
        <v/>
      </c>
      <c r="M19" s="324" t="str">
        <f t="shared" si="12"/>
        <v/>
      </c>
      <c r="N19" s="74" t="str">
        <f t="shared" si="2"/>
        <v/>
      </c>
      <c r="O19" s="62" t="str">
        <f t="shared" si="3"/>
        <v/>
      </c>
      <c r="P19" s="324" t="str">
        <f t="shared" si="13"/>
        <v/>
      </c>
      <c r="Q19" s="69"/>
      <c r="R19" s="61"/>
      <c r="S19" s="324" t="str">
        <f t="shared" si="14"/>
        <v/>
      </c>
      <c r="T19" s="69"/>
      <c r="U19" s="61"/>
      <c r="V19" s="324" t="str">
        <f t="shared" si="15"/>
        <v/>
      </c>
      <c r="W19" s="69"/>
      <c r="X19" s="61"/>
      <c r="Y19" s="324" t="str">
        <f t="shared" si="16"/>
        <v/>
      </c>
      <c r="Z19" s="74" t="str">
        <f t="shared" si="17"/>
        <v/>
      </c>
      <c r="AA19" s="62" t="str">
        <f t="shared" si="17"/>
        <v/>
      </c>
      <c r="AB19" s="324" t="str">
        <f t="shared" si="18"/>
        <v/>
      </c>
      <c r="AC19" s="74" t="str">
        <f t="shared" si="4"/>
        <v/>
      </c>
      <c r="AD19" s="62" t="str">
        <f t="shared" si="5"/>
        <v/>
      </c>
      <c r="AE19" s="324" t="str">
        <f t="shared" si="19"/>
        <v/>
      </c>
      <c r="AF19" s="69"/>
      <c r="AG19" s="61"/>
      <c r="AH19" s="324" t="str">
        <f t="shared" si="20"/>
        <v/>
      </c>
      <c r="AI19" s="69"/>
      <c r="AJ19" s="61"/>
      <c r="AK19" s="324" t="str">
        <f t="shared" si="21"/>
        <v/>
      </c>
      <c r="AL19" s="69"/>
      <c r="AM19" s="61"/>
      <c r="AN19" s="324" t="str">
        <f t="shared" si="22"/>
        <v/>
      </c>
      <c r="AO19" s="74" t="str">
        <f t="shared" si="23"/>
        <v/>
      </c>
      <c r="AP19" s="62" t="str">
        <f t="shared" si="23"/>
        <v/>
      </c>
      <c r="AQ19" s="324" t="str">
        <f t="shared" si="24"/>
        <v/>
      </c>
      <c r="AR19" s="74" t="str">
        <f t="shared" si="6"/>
        <v/>
      </c>
      <c r="AS19" s="62" t="str">
        <f t="shared" si="7"/>
        <v/>
      </c>
      <c r="AT19" s="324" t="str">
        <f t="shared" si="25"/>
        <v/>
      </c>
    </row>
    <row r="20" spans="1:46" ht="18" customHeight="1">
      <c r="A20" s="77" t="str">
        <f>IF($C$9="Data Not Entered On Set-Up Worksheet","",IF(OR(VLOOKUP($C$9,County_Lookup,5,FALSE)="",VLOOKUP($C$9,County_Lookup,5,FALSE)=0),"",VLOOKUP($C$9,County_Lookup,5,FALSE)))</f>
        <v/>
      </c>
      <c r="B20" s="69"/>
      <c r="C20" s="61"/>
      <c r="D20" s="324" t="str">
        <f t="shared" si="8"/>
        <v/>
      </c>
      <c r="E20" s="69"/>
      <c r="F20" s="61"/>
      <c r="G20" s="324" t="str">
        <f t="shared" si="9"/>
        <v/>
      </c>
      <c r="H20" s="69"/>
      <c r="I20" s="61"/>
      <c r="J20" s="324" t="str">
        <f t="shared" si="10"/>
        <v/>
      </c>
      <c r="K20" s="74" t="str">
        <f t="shared" si="11"/>
        <v/>
      </c>
      <c r="L20" s="62" t="str">
        <f t="shared" si="11"/>
        <v/>
      </c>
      <c r="M20" s="324" t="str">
        <f t="shared" si="12"/>
        <v/>
      </c>
      <c r="N20" s="74" t="str">
        <f t="shared" si="2"/>
        <v/>
      </c>
      <c r="O20" s="62" t="str">
        <f t="shared" si="3"/>
        <v/>
      </c>
      <c r="P20" s="324" t="str">
        <f t="shared" si="13"/>
        <v/>
      </c>
      <c r="Q20" s="69"/>
      <c r="R20" s="61"/>
      <c r="S20" s="324" t="str">
        <f t="shared" si="14"/>
        <v/>
      </c>
      <c r="T20" s="69"/>
      <c r="U20" s="61"/>
      <c r="V20" s="324" t="str">
        <f t="shared" si="15"/>
        <v/>
      </c>
      <c r="W20" s="69"/>
      <c r="X20" s="61"/>
      <c r="Y20" s="324" t="str">
        <f t="shared" si="16"/>
        <v/>
      </c>
      <c r="Z20" s="74" t="str">
        <f t="shared" si="17"/>
        <v/>
      </c>
      <c r="AA20" s="62" t="str">
        <f t="shared" si="17"/>
        <v/>
      </c>
      <c r="AB20" s="324" t="str">
        <f t="shared" si="18"/>
        <v/>
      </c>
      <c r="AC20" s="74" t="str">
        <f t="shared" si="4"/>
        <v/>
      </c>
      <c r="AD20" s="62" t="str">
        <f t="shared" si="5"/>
        <v/>
      </c>
      <c r="AE20" s="324" t="str">
        <f t="shared" si="19"/>
        <v/>
      </c>
      <c r="AF20" s="69"/>
      <c r="AG20" s="61"/>
      <c r="AH20" s="324" t="str">
        <f t="shared" si="20"/>
        <v/>
      </c>
      <c r="AI20" s="69"/>
      <c r="AJ20" s="61"/>
      <c r="AK20" s="324" t="str">
        <f t="shared" si="21"/>
        <v/>
      </c>
      <c r="AL20" s="69"/>
      <c r="AM20" s="61"/>
      <c r="AN20" s="324" t="str">
        <f t="shared" si="22"/>
        <v/>
      </c>
      <c r="AO20" s="74" t="str">
        <f t="shared" si="23"/>
        <v/>
      </c>
      <c r="AP20" s="62" t="str">
        <f t="shared" si="23"/>
        <v/>
      </c>
      <c r="AQ20" s="324" t="str">
        <f t="shared" si="24"/>
        <v/>
      </c>
      <c r="AR20" s="74" t="str">
        <f t="shared" si="6"/>
        <v/>
      </c>
      <c r="AS20" s="62" t="str">
        <f t="shared" si="7"/>
        <v/>
      </c>
      <c r="AT20" s="324" t="str">
        <f t="shared" si="25"/>
        <v/>
      </c>
    </row>
    <row r="21" spans="1:46" ht="18" customHeight="1">
      <c r="A21" s="77" t="str">
        <f>IF($C$9="Data Not Entered On Set-Up Worksheet","",IF(OR(VLOOKUP($C$9,County_Lookup,6,FALSE)="",VLOOKUP($C$9,County_Lookup,6,FALSE)=0),"",VLOOKUP($C$9,County_Lookup,6,FALSE)))</f>
        <v/>
      </c>
      <c r="B21" s="69"/>
      <c r="C21" s="61"/>
      <c r="D21" s="324" t="str">
        <f t="shared" si="8"/>
        <v/>
      </c>
      <c r="E21" s="69"/>
      <c r="F21" s="61"/>
      <c r="G21" s="324" t="str">
        <f t="shared" si="9"/>
        <v/>
      </c>
      <c r="H21" s="69"/>
      <c r="I21" s="61"/>
      <c r="J21" s="324" t="str">
        <f t="shared" si="10"/>
        <v/>
      </c>
      <c r="K21" s="74" t="str">
        <f t="shared" si="11"/>
        <v/>
      </c>
      <c r="L21" s="62" t="str">
        <f t="shared" si="11"/>
        <v/>
      </c>
      <c r="M21" s="324" t="str">
        <f t="shared" si="12"/>
        <v/>
      </c>
      <c r="N21" s="74" t="str">
        <f t="shared" si="2"/>
        <v/>
      </c>
      <c r="O21" s="62" t="str">
        <f t="shared" si="3"/>
        <v/>
      </c>
      <c r="P21" s="324" t="str">
        <f t="shared" si="13"/>
        <v/>
      </c>
      <c r="Q21" s="69"/>
      <c r="R21" s="61"/>
      <c r="S21" s="324" t="str">
        <f t="shared" si="14"/>
        <v/>
      </c>
      <c r="T21" s="69"/>
      <c r="U21" s="61"/>
      <c r="V21" s="324" t="str">
        <f t="shared" si="15"/>
        <v/>
      </c>
      <c r="W21" s="69"/>
      <c r="X21" s="61"/>
      <c r="Y21" s="324" t="str">
        <f t="shared" si="16"/>
        <v/>
      </c>
      <c r="Z21" s="74" t="str">
        <f t="shared" si="17"/>
        <v/>
      </c>
      <c r="AA21" s="62" t="str">
        <f t="shared" si="17"/>
        <v/>
      </c>
      <c r="AB21" s="324" t="str">
        <f t="shared" si="18"/>
        <v/>
      </c>
      <c r="AC21" s="74" t="str">
        <f t="shared" si="4"/>
        <v/>
      </c>
      <c r="AD21" s="62" t="str">
        <f t="shared" si="5"/>
        <v/>
      </c>
      <c r="AE21" s="324" t="str">
        <f t="shared" si="19"/>
        <v/>
      </c>
      <c r="AF21" s="69"/>
      <c r="AG21" s="61"/>
      <c r="AH21" s="324" t="str">
        <f t="shared" si="20"/>
        <v/>
      </c>
      <c r="AI21" s="69"/>
      <c r="AJ21" s="61"/>
      <c r="AK21" s="324" t="str">
        <f t="shared" si="21"/>
        <v/>
      </c>
      <c r="AL21" s="69"/>
      <c r="AM21" s="61"/>
      <c r="AN21" s="324" t="str">
        <f t="shared" si="22"/>
        <v/>
      </c>
      <c r="AO21" s="74" t="str">
        <f t="shared" si="23"/>
        <v/>
      </c>
      <c r="AP21" s="62" t="str">
        <f t="shared" si="23"/>
        <v/>
      </c>
      <c r="AQ21" s="324" t="str">
        <f t="shared" si="24"/>
        <v/>
      </c>
      <c r="AR21" s="74" t="str">
        <f t="shared" si="6"/>
        <v/>
      </c>
      <c r="AS21" s="62" t="str">
        <f t="shared" si="7"/>
        <v/>
      </c>
      <c r="AT21" s="324" t="str">
        <f t="shared" si="25"/>
        <v/>
      </c>
    </row>
    <row r="22" spans="1:46" ht="18" customHeight="1">
      <c r="A22" s="77" t="str">
        <f>IF($C$9="Data Not Entered On Set-Up Worksheet","",IF(OR(VLOOKUP($C$9,County_Lookup,7,FALSE)="",VLOOKUP($C$9,County_Lookup,7,FALSE)=0),"",VLOOKUP($C$9,County_Lookup,7,FALSE)))</f>
        <v/>
      </c>
      <c r="B22" s="69"/>
      <c r="C22" s="61"/>
      <c r="D22" s="324" t="str">
        <f t="shared" si="8"/>
        <v/>
      </c>
      <c r="E22" s="69"/>
      <c r="F22" s="61"/>
      <c r="G22" s="324" t="str">
        <f t="shared" si="9"/>
        <v/>
      </c>
      <c r="H22" s="69"/>
      <c r="I22" s="61"/>
      <c r="J22" s="324" t="str">
        <f t="shared" si="10"/>
        <v/>
      </c>
      <c r="K22" s="74" t="str">
        <f t="shared" si="11"/>
        <v/>
      </c>
      <c r="L22" s="62" t="str">
        <f t="shared" si="11"/>
        <v/>
      </c>
      <c r="M22" s="324" t="str">
        <f t="shared" si="12"/>
        <v/>
      </c>
      <c r="N22" s="74" t="str">
        <f t="shared" si="2"/>
        <v/>
      </c>
      <c r="O22" s="62" t="str">
        <f t="shared" si="3"/>
        <v/>
      </c>
      <c r="P22" s="324" t="str">
        <f t="shared" si="13"/>
        <v/>
      </c>
      <c r="Q22" s="69"/>
      <c r="R22" s="61"/>
      <c r="S22" s="324" t="str">
        <f t="shared" si="14"/>
        <v/>
      </c>
      <c r="T22" s="69"/>
      <c r="U22" s="61"/>
      <c r="V22" s="324" t="str">
        <f t="shared" si="15"/>
        <v/>
      </c>
      <c r="W22" s="69"/>
      <c r="X22" s="61"/>
      <c r="Y22" s="324" t="str">
        <f t="shared" si="16"/>
        <v/>
      </c>
      <c r="Z22" s="74" t="str">
        <f t="shared" si="17"/>
        <v/>
      </c>
      <c r="AA22" s="62" t="str">
        <f t="shared" si="17"/>
        <v/>
      </c>
      <c r="AB22" s="324" t="str">
        <f t="shared" si="18"/>
        <v/>
      </c>
      <c r="AC22" s="74" t="str">
        <f t="shared" si="4"/>
        <v/>
      </c>
      <c r="AD22" s="62" t="str">
        <f t="shared" si="5"/>
        <v/>
      </c>
      <c r="AE22" s="324" t="str">
        <f t="shared" si="19"/>
        <v/>
      </c>
      <c r="AF22" s="69"/>
      <c r="AG22" s="61"/>
      <c r="AH22" s="324" t="str">
        <f t="shared" si="20"/>
        <v/>
      </c>
      <c r="AI22" s="69"/>
      <c r="AJ22" s="61"/>
      <c r="AK22" s="324" t="str">
        <f t="shared" si="21"/>
        <v/>
      </c>
      <c r="AL22" s="69"/>
      <c r="AM22" s="61"/>
      <c r="AN22" s="324" t="str">
        <f t="shared" si="22"/>
        <v/>
      </c>
      <c r="AO22" s="74" t="str">
        <f t="shared" si="23"/>
        <v/>
      </c>
      <c r="AP22" s="62" t="str">
        <f t="shared" si="23"/>
        <v/>
      </c>
      <c r="AQ22" s="324" t="str">
        <f t="shared" si="24"/>
        <v/>
      </c>
      <c r="AR22" s="74" t="str">
        <f t="shared" si="6"/>
        <v/>
      </c>
      <c r="AS22" s="62" t="str">
        <f t="shared" si="7"/>
        <v/>
      </c>
      <c r="AT22" s="324" t="str">
        <f t="shared" si="25"/>
        <v/>
      </c>
    </row>
    <row r="23" spans="1:46" ht="18" customHeight="1">
      <c r="A23" s="76" t="str">
        <f>IF($C$9="Data Not Entered On Set-Up Worksheet","",IF(OR(VLOOKUP($C$9,County_Lookup,8,FALSE)="",VLOOKUP($C$9,County_Lookup,8,FALSE)=0),"",VLOOKUP($C$9,County_Lookup,8,FALSE)))</f>
        <v/>
      </c>
      <c r="B23" s="69"/>
      <c r="C23" s="61"/>
      <c r="D23" s="324" t="str">
        <f t="shared" si="8"/>
        <v/>
      </c>
      <c r="E23" s="69"/>
      <c r="F23" s="61"/>
      <c r="G23" s="324" t="str">
        <f t="shared" si="9"/>
        <v/>
      </c>
      <c r="H23" s="69"/>
      <c r="I23" s="61"/>
      <c r="J23" s="324" t="str">
        <f t="shared" si="10"/>
        <v/>
      </c>
      <c r="K23" s="74" t="str">
        <f t="shared" si="11"/>
        <v/>
      </c>
      <c r="L23" s="62" t="str">
        <f t="shared" si="11"/>
        <v/>
      </c>
      <c r="M23" s="324" t="str">
        <f t="shared" si="12"/>
        <v/>
      </c>
      <c r="N23" s="74" t="str">
        <f t="shared" si="2"/>
        <v/>
      </c>
      <c r="O23" s="62" t="str">
        <f t="shared" si="3"/>
        <v/>
      </c>
      <c r="P23" s="324" t="str">
        <f t="shared" si="13"/>
        <v/>
      </c>
      <c r="Q23" s="69"/>
      <c r="R23" s="61"/>
      <c r="S23" s="324" t="str">
        <f t="shared" si="14"/>
        <v/>
      </c>
      <c r="T23" s="69"/>
      <c r="U23" s="61"/>
      <c r="V23" s="324" t="str">
        <f t="shared" si="15"/>
        <v/>
      </c>
      <c r="W23" s="69"/>
      <c r="X23" s="61"/>
      <c r="Y23" s="324" t="str">
        <f t="shared" si="16"/>
        <v/>
      </c>
      <c r="Z23" s="74" t="str">
        <f t="shared" si="17"/>
        <v/>
      </c>
      <c r="AA23" s="62" t="str">
        <f t="shared" si="17"/>
        <v/>
      </c>
      <c r="AB23" s="324" t="str">
        <f t="shared" si="18"/>
        <v/>
      </c>
      <c r="AC23" s="74" t="str">
        <f t="shared" si="4"/>
        <v/>
      </c>
      <c r="AD23" s="62" t="str">
        <f t="shared" si="5"/>
        <v/>
      </c>
      <c r="AE23" s="324" t="str">
        <f t="shared" si="19"/>
        <v/>
      </c>
      <c r="AF23" s="69"/>
      <c r="AG23" s="61"/>
      <c r="AH23" s="324" t="str">
        <f t="shared" si="20"/>
        <v/>
      </c>
      <c r="AI23" s="69"/>
      <c r="AJ23" s="61"/>
      <c r="AK23" s="324" t="str">
        <f t="shared" si="21"/>
        <v/>
      </c>
      <c r="AL23" s="69"/>
      <c r="AM23" s="61"/>
      <c r="AN23" s="324" t="str">
        <f t="shared" si="22"/>
        <v/>
      </c>
      <c r="AO23" s="74" t="str">
        <f t="shared" si="23"/>
        <v/>
      </c>
      <c r="AP23" s="62" t="str">
        <f t="shared" si="23"/>
        <v/>
      </c>
      <c r="AQ23" s="324" t="str">
        <f t="shared" si="24"/>
        <v/>
      </c>
      <c r="AR23" s="74" t="str">
        <f t="shared" si="6"/>
        <v/>
      </c>
      <c r="AS23" s="62" t="str">
        <f t="shared" si="7"/>
        <v/>
      </c>
      <c r="AT23" s="324" t="str">
        <f t="shared" si="25"/>
        <v/>
      </c>
    </row>
    <row r="24" spans="1:46" ht="18" customHeight="1">
      <c r="A24" s="77" t="str">
        <f>IF($C$9="Data Not Entered On Set-Up Worksheet","",IF(OR(VLOOKUP($C$9,County_Lookup,9,FALSE)="",VLOOKUP($C$9,County_Lookup,9,FALSE)=0),"",VLOOKUP($C$9,County_Lookup,9,FALSE)))</f>
        <v/>
      </c>
      <c r="B24" s="69"/>
      <c r="C24" s="61"/>
      <c r="D24" s="324" t="str">
        <f t="shared" si="8"/>
        <v/>
      </c>
      <c r="E24" s="69"/>
      <c r="F24" s="61"/>
      <c r="G24" s="324" t="str">
        <f t="shared" si="9"/>
        <v/>
      </c>
      <c r="H24" s="69"/>
      <c r="I24" s="61"/>
      <c r="J24" s="324" t="str">
        <f t="shared" si="10"/>
        <v/>
      </c>
      <c r="K24" s="74" t="str">
        <f t="shared" si="11"/>
        <v/>
      </c>
      <c r="L24" s="62" t="str">
        <f t="shared" si="11"/>
        <v/>
      </c>
      <c r="M24" s="324" t="str">
        <f t="shared" si="12"/>
        <v/>
      </c>
      <c r="N24" s="74" t="str">
        <f t="shared" si="2"/>
        <v/>
      </c>
      <c r="O24" s="62" t="str">
        <f t="shared" si="3"/>
        <v/>
      </c>
      <c r="P24" s="324" t="str">
        <f t="shared" si="13"/>
        <v/>
      </c>
      <c r="Q24" s="69"/>
      <c r="R24" s="61"/>
      <c r="S24" s="324" t="str">
        <f t="shared" si="14"/>
        <v/>
      </c>
      <c r="T24" s="69"/>
      <c r="U24" s="61"/>
      <c r="V24" s="324" t="str">
        <f t="shared" si="15"/>
        <v/>
      </c>
      <c r="W24" s="69"/>
      <c r="X24" s="61"/>
      <c r="Y24" s="324" t="str">
        <f t="shared" si="16"/>
        <v/>
      </c>
      <c r="Z24" s="74" t="str">
        <f t="shared" si="17"/>
        <v/>
      </c>
      <c r="AA24" s="62" t="str">
        <f t="shared" si="17"/>
        <v/>
      </c>
      <c r="AB24" s="324" t="str">
        <f t="shared" si="18"/>
        <v/>
      </c>
      <c r="AC24" s="74" t="str">
        <f t="shared" si="4"/>
        <v/>
      </c>
      <c r="AD24" s="62" t="str">
        <f t="shared" si="5"/>
        <v/>
      </c>
      <c r="AE24" s="324" t="str">
        <f t="shared" si="19"/>
        <v/>
      </c>
      <c r="AF24" s="69"/>
      <c r="AG24" s="61"/>
      <c r="AH24" s="324" t="str">
        <f t="shared" si="20"/>
        <v/>
      </c>
      <c r="AI24" s="69"/>
      <c r="AJ24" s="61"/>
      <c r="AK24" s="324" t="str">
        <f t="shared" si="21"/>
        <v/>
      </c>
      <c r="AL24" s="69"/>
      <c r="AM24" s="61"/>
      <c r="AN24" s="324" t="str">
        <f t="shared" si="22"/>
        <v/>
      </c>
      <c r="AO24" s="74" t="str">
        <f t="shared" si="23"/>
        <v/>
      </c>
      <c r="AP24" s="62" t="str">
        <f t="shared" si="23"/>
        <v/>
      </c>
      <c r="AQ24" s="324" t="str">
        <f t="shared" si="24"/>
        <v/>
      </c>
      <c r="AR24" s="74" t="str">
        <f t="shared" si="6"/>
        <v/>
      </c>
      <c r="AS24" s="62" t="str">
        <f t="shared" si="7"/>
        <v/>
      </c>
      <c r="AT24" s="324" t="str">
        <f t="shared" si="25"/>
        <v/>
      </c>
    </row>
    <row r="25" spans="1:46" ht="18" customHeight="1">
      <c r="A25" s="77" t="str">
        <f>IF($C$9="Data Not Entered On Set-Up Worksheet","",IF(OR(VLOOKUP($C$9,County_Lookup,10,FALSE)="",VLOOKUP($C$9,County_Lookup,10,FALSE)=0),"",VLOOKUP($C$9,County_Lookup,10,FALSE)))</f>
        <v/>
      </c>
      <c r="B25" s="69"/>
      <c r="C25" s="61"/>
      <c r="D25" s="324" t="str">
        <f t="shared" si="8"/>
        <v/>
      </c>
      <c r="E25" s="69"/>
      <c r="F25" s="61"/>
      <c r="G25" s="324" t="str">
        <f t="shared" si="9"/>
        <v/>
      </c>
      <c r="H25" s="69"/>
      <c r="I25" s="61"/>
      <c r="J25" s="324" t="str">
        <f t="shared" si="10"/>
        <v/>
      </c>
      <c r="K25" s="74" t="str">
        <f t="shared" si="11"/>
        <v/>
      </c>
      <c r="L25" s="62" t="str">
        <f t="shared" si="11"/>
        <v/>
      </c>
      <c r="M25" s="324" t="str">
        <f t="shared" si="12"/>
        <v/>
      </c>
      <c r="N25" s="74" t="str">
        <f t="shared" si="2"/>
        <v/>
      </c>
      <c r="O25" s="62" t="str">
        <f t="shared" si="3"/>
        <v/>
      </c>
      <c r="P25" s="324" t="str">
        <f t="shared" si="13"/>
        <v/>
      </c>
      <c r="Q25" s="69"/>
      <c r="R25" s="61"/>
      <c r="S25" s="324" t="str">
        <f t="shared" si="14"/>
        <v/>
      </c>
      <c r="T25" s="69"/>
      <c r="U25" s="61"/>
      <c r="V25" s="324" t="str">
        <f t="shared" si="15"/>
        <v/>
      </c>
      <c r="W25" s="69"/>
      <c r="X25" s="61"/>
      <c r="Y25" s="324" t="str">
        <f t="shared" si="16"/>
        <v/>
      </c>
      <c r="Z25" s="74" t="str">
        <f t="shared" si="17"/>
        <v/>
      </c>
      <c r="AA25" s="62" t="str">
        <f t="shared" si="17"/>
        <v/>
      </c>
      <c r="AB25" s="324" t="str">
        <f t="shared" si="18"/>
        <v/>
      </c>
      <c r="AC25" s="74" t="str">
        <f t="shared" si="4"/>
        <v/>
      </c>
      <c r="AD25" s="62" t="str">
        <f t="shared" si="5"/>
        <v/>
      </c>
      <c r="AE25" s="324" t="str">
        <f t="shared" si="19"/>
        <v/>
      </c>
      <c r="AF25" s="69"/>
      <c r="AG25" s="61"/>
      <c r="AH25" s="324" t="str">
        <f t="shared" si="20"/>
        <v/>
      </c>
      <c r="AI25" s="69"/>
      <c r="AJ25" s="61"/>
      <c r="AK25" s="324" t="str">
        <f t="shared" si="21"/>
        <v/>
      </c>
      <c r="AL25" s="69"/>
      <c r="AM25" s="61"/>
      <c r="AN25" s="324" t="str">
        <f t="shared" si="22"/>
        <v/>
      </c>
      <c r="AO25" s="74" t="str">
        <f t="shared" si="23"/>
        <v/>
      </c>
      <c r="AP25" s="62" t="str">
        <f t="shared" si="23"/>
        <v/>
      </c>
      <c r="AQ25" s="324" t="str">
        <f t="shared" si="24"/>
        <v/>
      </c>
      <c r="AR25" s="74" t="str">
        <f t="shared" si="6"/>
        <v/>
      </c>
      <c r="AS25" s="62" t="str">
        <f t="shared" si="7"/>
        <v/>
      </c>
      <c r="AT25" s="324" t="str">
        <f t="shared" si="25"/>
        <v/>
      </c>
    </row>
    <row r="26" spans="1:46" ht="18" customHeight="1">
      <c r="A26" s="77" t="str">
        <f>IF($C$9="Data Not Entered On Set-Up Worksheet","",IF(OR(VLOOKUP($C$9,County_Lookup,11,FALSE)="",VLOOKUP($C$9,County_Lookup,11,FALSE)=0),"",VLOOKUP($C$9,County_Lookup,11,FALSE)))</f>
        <v/>
      </c>
      <c r="B26" s="69"/>
      <c r="C26" s="61"/>
      <c r="D26" s="324" t="str">
        <f t="shared" si="8"/>
        <v/>
      </c>
      <c r="E26" s="69"/>
      <c r="F26" s="61"/>
      <c r="G26" s="324" t="str">
        <f t="shared" si="9"/>
        <v/>
      </c>
      <c r="H26" s="69"/>
      <c r="I26" s="61"/>
      <c r="J26" s="324" t="str">
        <f t="shared" si="10"/>
        <v/>
      </c>
      <c r="K26" s="74" t="str">
        <f t="shared" si="11"/>
        <v/>
      </c>
      <c r="L26" s="62" t="str">
        <f t="shared" si="11"/>
        <v/>
      </c>
      <c r="M26" s="324" t="str">
        <f t="shared" si="12"/>
        <v/>
      </c>
      <c r="N26" s="74" t="str">
        <f t="shared" si="2"/>
        <v/>
      </c>
      <c r="O26" s="62" t="str">
        <f t="shared" si="3"/>
        <v/>
      </c>
      <c r="P26" s="324" t="str">
        <f t="shared" si="13"/>
        <v/>
      </c>
      <c r="Q26" s="69"/>
      <c r="R26" s="61"/>
      <c r="S26" s="324" t="str">
        <f t="shared" si="14"/>
        <v/>
      </c>
      <c r="T26" s="69"/>
      <c r="U26" s="61"/>
      <c r="V26" s="324" t="str">
        <f t="shared" si="15"/>
        <v/>
      </c>
      <c r="W26" s="69"/>
      <c r="X26" s="61"/>
      <c r="Y26" s="324" t="str">
        <f t="shared" si="16"/>
        <v/>
      </c>
      <c r="Z26" s="74" t="str">
        <f t="shared" si="17"/>
        <v/>
      </c>
      <c r="AA26" s="62" t="str">
        <f t="shared" si="17"/>
        <v/>
      </c>
      <c r="AB26" s="324" t="str">
        <f t="shared" si="18"/>
        <v/>
      </c>
      <c r="AC26" s="74" t="str">
        <f t="shared" si="4"/>
        <v/>
      </c>
      <c r="AD26" s="62" t="str">
        <f t="shared" si="5"/>
        <v/>
      </c>
      <c r="AE26" s="324" t="str">
        <f t="shared" si="19"/>
        <v/>
      </c>
      <c r="AF26" s="69"/>
      <c r="AG26" s="61"/>
      <c r="AH26" s="324" t="str">
        <f t="shared" si="20"/>
        <v/>
      </c>
      <c r="AI26" s="69"/>
      <c r="AJ26" s="61"/>
      <c r="AK26" s="324" t="str">
        <f t="shared" si="21"/>
        <v/>
      </c>
      <c r="AL26" s="69"/>
      <c r="AM26" s="61"/>
      <c r="AN26" s="324" t="str">
        <f t="shared" si="22"/>
        <v/>
      </c>
      <c r="AO26" s="74" t="str">
        <f t="shared" si="23"/>
        <v/>
      </c>
      <c r="AP26" s="62" t="str">
        <f t="shared" si="23"/>
        <v/>
      </c>
      <c r="AQ26" s="324" t="str">
        <f t="shared" si="24"/>
        <v/>
      </c>
      <c r="AR26" s="74" t="str">
        <f t="shared" si="6"/>
        <v/>
      </c>
      <c r="AS26" s="62" t="str">
        <f t="shared" si="7"/>
        <v/>
      </c>
      <c r="AT26" s="324" t="str">
        <f t="shared" si="25"/>
        <v/>
      </c>
    </row>
    <row r="27" spans="1:46" ht="18" customHeight="1">
      <c r="A27" s="77" t="str">
        <f>IF($C$9="Data Not Entered On Set-Up Worksheet","",IF(OR(VLOOKUP($C$9,County_Lookup,12,FALSE)="",VLOOKUP($C$9,County_Lookup,12,FALSE)=0),"",VLOOKUP($C$9,County_Lookup,12,FALSE)))</f>
        <v/>
      </c>
      <c r="B27" s="69"/>
      <c r="C27" s="61"/>
      <c r="D27" s="324" t="str">
        <f t="shared" si="8"/>
        <v/>
      </c>
      <c r="E27" s="69"/>
      <c r="F27" s="61"/>
      <c r="G27" s="324" t="str">
        <f t="shared" si="9"/>
        <v/>
      </c>
      <c r="H27" s="69"/>
      <c r="I27" s="61"/>
      <c r="J27" s="324" t="str">
        <f t="shared" si="10"/>
        <v/>
      </c>
      <c r="K27" s="74" t="str">
        <f t="shared" si="11"/>
        <v/>
      </c>
      <c r="L27" s="62" t="str">
        <f t="shared" si="11"/>
        <v/>
      </c>
      <c r="M27" s="324" t="str">
        <f t="shared" si="12"/>
        <v/>
      </c>
      <c r="N27" s="74" t="str">
        <f t="shared" si="2"/>
        <v/>
      </c>
      <c r="O27" s="62" t="str">
        <f t="shared" si="3"/>
        <v/>
      </c>
      <c r="P27" s="324" t="str">
        <f t="shared" si="13"/>
        <v/>
      </c>
      <c r="Q27" s="69"/>
      <c r="R27" s="61"/>
      <c r="S27" s="324" t="str">
        <f t="shared" si="14"/>
        <v/>
      </c>
      <c r="T27" s="69"/>
      <c r="U27" s="61"/>
      <c r="V27" s="324" t="str">
        <f t="shared" si="15"/>
        <v/>
      </c>
      <c r="W27" s="69"/>
      <c r="X27" s="61"/>
      <c r="Y27" s="324" t="str">
        <f t="shared" si="16"/>
        <v/>
      </c>
      <c r="Z27" s="74" t="str">
        <f t="shared" si="17"/>
        <v/>
      </c>
      <c r="AA27" s="62" t="str">
        <f t="shared" si="17"/>
        <v/>
      </c>
      <c r="AB27" s="324" t="str">
        <f t="shared" si="18"/>
        <v/>
      </c>
      <c r="AC27" s="74" t="str">
        <f t="shared" si="4"/>
        <v/>
      </c>
      <c r="AD27" s="62" t="str">
        <f t="shared" si="5"/>
        <v/>
      </c>
      <c r="AE27" s="324" t="str">
        <f t="shared" si="19"/>
        <v/>
      </c>
      <c r="AF27" s="69"/>
      <c r="AG27" s="61"/>
      <c r="AH27" s="324" t="str">
        <f t="shared" si="20"/>
        <v/>
      </c>
      <c r="AI27" s="69"/>
      <c r="AJ27" s="61"/>
      <c r="AK27" s="324" t="str">
        <f t="shared" si="21"/>
        <v/>
      </c>
      <c r="AL27" s="69"/>
      <c r="AM27" s="61"/>
      <c r="AN27" s="324" t="str">
        <f t="shared" si="22"/>
        <v/>
      </c>
      <c r="AO27" s="74" t="str">
        <f t="shared" si="23"/>
        <v/>
      </c>
      <c r="AP27" s="62" t="str">
        <f t="shared" si="23"/>
        <v/>
      </c>
      <c r="AQ27" s="324" t="str">
        <f t="shared" si="24"/>
        <v/>
      </c>
      <c r="AR27" s="74" t="str">
        <f t="shared" si="6"/>
        <v/>
      </c>
      <c r="AS27" s="62" t="str">
        <f t="shared" si="7"/>
        <v/>
      </c>
      <c r="AT27" s="324" t="str">
        <f t="shared" si="25"/>
        <v/>
      </c>
    </row>
    <row r="28" spans="1:46" ht="18" customHeight="1">
      <c r="A28" s="77" t="str">
        <f>IF($C$9="Data Not Entered On Set-Up Worksheet","",IF(OR(VLOOKUP($C$9,County_Lookup,13,FALSE)="",VLOOKUP($C$9,County_Lookup,13,FALSE)=0),"",VLOOKUP($C$9,County_Lookup,13,FALSE)))</f>
        <v/>
      </c>
      <c r="B28" s="69"/>
      <c r="C28" s="61"/>
      <c r="D28" s="324" t="str">
        <f t="shared" si="8"/>
        <v/>
      </c>
      <c r="E28" s="69"/>
      <c r="F28" s="61"/>
      <c r="G28" s="324" t="str">
        <f t="shared" si="9"/>
        <v/>
      </c>
      <c r="H28" s="69"/>
      <c r="I28" s="61"/>
      <c r="J28" s="324" t="str">
        <f t="shared" si="10"/>
        <v/>
      </c>
      <c r="K28" s="74" t="str">
        <f t="shared" si="11"/>
        <v/>
      </c>
      <c r="L28" s="62" t="str">
        <f t="shared" si="11"/>
        <v/>
      </c>
      <c r="M28" s="324" t="str">
        <f t="shared" si="12"/>
        <v/>
      </c>
      <c r="N28" s="74" t="str">
        <f t="shared" si="2"/>
        <v/>
      </c>
      <c r="O28" s="62" t="str">
        <f t="shared" si="3"/>
        <v/>
      </c>
      <c r="P28" s="324" t="str">
        <f t="shared" si="13"/>
        <v/>
      </c>
      <c r="Q28" s="69"/>
      <c r="R28" s="61"/>
      <c r="S28" s="324" t="str">
        <f t="shared" si="14"/>
        <v/>
      </c>
      <c r="T28" s="69"/>
      <c r="U28" s="61"/>
      <c r="V28" s="324" t="str">
        <f t="shared" si="15"/>
        <v/>
      </c>
      <c r="W28" s="69"/>
      <c r="X28" s="61"/>
      <c r="Y28" s="324" t="str">
        <f t="shared" si="16"/>
        <v/>
      </c>
      <c r="Z28" s="74" t="str">
        <f t="shared" si="17"/>
        <v/>
      </c>
      <c r="AA28" s="62" t="str">
        <f t="shared" si="17"/>
        <v/>
      </c>
      <c r="AB28" s="324" t="str">
        <f t="shared" si="18"/>
        <v/>
      </c>
      <c r="AC28" s="74" t="str">
        <f t="shared" si="4"/>
        <v/>
      </c>
      <c r="AD28" s="62" t="str">
        <f t="shared" si="5"/>
        <v/>
      </c>
      <c r="AE28" s="324" t="str">
        <f t="shared" si="19"/>
        <v/>
      </c>
      <c r="AF28" s="69"/>
      <c r="AG28" s="61"/>
      <c r="AH28" s="324" t="str">
        <f t="shared" si="20"/>
        <v/>
      </c>
      <c r="AI28" s="69"/>
      <c r="AJ28" s="61"/>
      <c r="AK28" s="324" t="str">
        <f t="shared" si="21"/>
        <v/>
      </c>
      <c r="AL28" s="69"/>
      <c r="AM28" s="61"/>
      <c r="AN28" s="324" t="str">
        <f t="shared" si="22"/>
        <v/>
      </c>
      <c r="AO28" s="74" t="str">
        <f t="shared" si="23"/>
        <v/>
      </c>
      <c r="AP28" s="62" t="str">
        <f t="shared" si="23"/>
        <v/>
      </c>
      <c r="AQ28" s="324" t="str">
        <f t="shared" si="24"/>
        <v/>
      </c>
      <c r="AR28" s="74" t="str">
        <f t="shared" si="6"/>
        <v/>
      </c>
      <c r="AS28" s="62" t="str">
        <f t="shared" si="7"/>
        <v/>
      </c>
      <c r="AT28" s="324" t="str">
        <f t="shared" si="25"/>
        <v/>
      </c>
    </row>
    <row r="29" spans="1:46" ht="18" customHeight="1">
      <c r="A29" s="77" t="str">
        <f>IF($C$9="Data Not Entered On Set-Up Worksheet","",IF(OR(VLOOKUP($C$9,County_Lookup,14,FALSE)="",VLOOKUP($C$9,County_Lookup,14,FALSE)=0),"",VLOOKUP($C$9,County_Lookup,14,FALSE)))</f>
        <v/>
      </c>
      <c r="B29" s="69"/>
      <c r="C29" s="61"/>
      <c r="D29" s="324" t="str">
        <f t="shared" si="8"/>
        <v/>
      </c>
      <c r="E29" s="69"/>
      <c r="F29" s="61"/>
      <c r="G29" s="324" t="str">
        <f t="shared" si="9"/>
        <v/>
      </c>
      <c r="H29" s="69"/>
      <c r="I29" s="61"/>
      <c r="J29" s="324" t="str">
        <f t="shared" si="10"/>
        <v/>
      </c>
      <c r="K29" s="74" t="str">
        <f t="shared" si="11"/>
        <v/>
      </c>
      <c r="L29" s="62" t="str">
        <f t="shared" si="11"/>
        <v/>
      </c>
      <c r="M29" s="324" t="str">
        <f t="shared" si="12"/>
        <v/>
      </c>
      <c r="N29" s="74" t="str">
        <f t="shared" si="2"/>
        <v/>
      </c>
      <c r="O29" s="62" t="str">
        <f t="shared" si="3"/>
        <v/>
      </c>
      <c r="P29" s="324" t="str">
        <f t="shared" si="13"/>
        <v/>
      </c>
      <c r="Q29" s="69"/>
      <c r="R29" s="61"/>
      <c r="S29" s="324" t="str">
        <f t="shared" si="14"/>
        <v/>
      </c>
      <c r="T29" s="69"/>
      <c r="U29" s="61"/>
      <c r="V29" s="324" t="str">
        <f t="shared" si="15"/>
        <v/>
      </c>
      <c r="W29" s="69"/>
      <c r="X29" s="61"/>
      <c r="Y29" s="324" t="str">
        <f t="shared" si="16"/>
        <v/>
      </c>
      <c r="Z29" s="74" t="str">
        <f t="shared" si="17"/>
        <v/>
      </c>
      <c r="AA29" s="62" t="str">
        <f t="shared" si="17"/>
        <v/>
      </c>
      <c r="AB29" s="324" t="str">
        <f t="shared" si="18"/>
        <v/>
      </c>
      <c r="AC29" s="74" t="str">
        <f t="shared" si="4"/>
        <v/>
      </c>
      <c r="AD29" s="62" t="str">
        <f t="shared" si="5"/>
        <v/>
      </c>
      <c r="AE29" s="324" t="str">
        <f t="shared" si="19"/>
        <v/>
      </c>
      <c r="AF29" s="69"/>
      <c r="AG29" s="61"/>
      <c r="AH29" s="324" t="str">
        <f t="shared" si="20"/>
        <v/>
      </c>
      <c r="AI29" s="69"/>
      <c r="AJ29" s="61"/>
      <c r="AK29" s="324" t="str">
        <f t="shared" si="21"/>
        <v/>
      </c>
      <c r="AL29" s="69"/>
      <c r="AM29" s="61"/>
      <c r="AN29" s="324" t="str">
        <f t="shared" si="22"/>
        <v/>
      </c>
      <c r="AO29" s="74" t="str">
        <f t="shared" si="23"/>
        <v/>
      </c>
      <c r="AP29" s="62" t="str">
        <f t="shared" si="23"/>
        <v/>
      </c>
      <c r="AQ29" s="324" t="str">
        <f t="shared" si="24"/>
        <v/>
      </c>
      <c r="AR29" s="74" t="str">
        <f t="shared" si="6"/>
        <v/>
      </c>
      <c r="AS29" s="62" t="str">
        <f t="shared" si="7"/>
        <v/>
      </c>
      <c r="AT29" s="324" t="str">
        <f t="shared" si="25"/>
        <v/>
      </c>
    </row>
    <row r="30" spans="1:46" ht="18" customHeight="1">
      <c r="A30" s="76" t="str">
        <f>IF($C$9="Data Not Entered On Set-Up Worksheet","",IF(OR(VLOOKUP($C$9,County_Lookup,15,FALSE)="",VLOOKUP($C$9,County_Lookup,15,FALSE)=0),"",VLOOKUP($C$9,County_Lookup,15,FALSE)))</f>
        <v/>
      </c>
      <c r="B30" s="69"/>
      <c r="C30" s="61"/>
      <c r="D30" s="324" t="str">
        <f t="shared" si="8"/>
        <v/>
      </c>
      <c r="E30" s="69"/>
      <c r="F30" s="61"/>
      <c r="G30" s="324" t="str">
        <f t="shared" si="9"/>
        <v/>
      </c>
      <c r="H30" s="69"/>
      <c r="I30" s="61"/>
      <c r="J30" s="324" t="str">
        <f t="shared" si="10"/>
        <v/>
      </c>
      <c r="K30" s="74" t="str">
        <f t="shared" si="11"/>
        <v/>
      </c>
      <c r="L30" s="62" t="str">
        <f t="shared" si="11"/>
        <v/>
      </c>
      <c r="M30" s="324" t="str">
        <f t="shared" si="12"/>
        <v/>
      </c>
      <c r="N30" s="74" t="str">
        <f t="shared" si="2"/>
        <v/>
      </c>
      <c r="O30" s="62" t="str">
        <f t="shared" si="3"/>
        <v/>
      </c>
      <c r="P30" s="324" t="str">
        <f t="shared" si="13"/>
        <v/>
      </c>
      <c r="Q30" s="69"/>
      <c r="R30" s="61"/>
      <c r="S30" s="324" t="str">
        <f t="shared" si="14"/>
        <v/>
      </c>
      <c r="T30" s="69"/>
      <c r="U30" s="61"/>
      <c r="V30" s="324" t="str">
        <f t="shared" si="15"/>
        <v/>
      </c>
      <c r="W30" s="69"/>
      <c r="X30" s="61"/>
      <c r="Y30" s="324" t="str">
        <f t="shared" si="16"/>
        <v/>
      </c>
      <c r="Z30" s="74" t="str">
        <f t="shared" si="17"/>
        <v/>
      </c>
      <c r="AA30" s="62" t="str">
        <f t="shared" si="17"/>
        <v/>
      </c>
      <c r="AB30" s="324" t="str">
        <f t="shared" si="18"/>
        <v/>
      </c>
      <c r="AC30" s="74" t="str">
        <f t="shared" si="4"/>
        <v/>
      </c>
      <c r="AD30" s="62" t="str">
        <f t="shared" si="5"/>
        <v/>
      </c>
      <c r="AE30" s="324" t="str">
        <f t="shared" si="19"/>
        <v/>
      </c>
      <c r="AF30" s="69"/>
      <c r="AG30" s="61"/>
      <c r="AH30" s="324" t="str">
        <f t="shared" si="20"/>
        <v/>
      </c>
      <c r="AI30" s="69"/>
      <c r="AJ30" s="61"/>
      <c r="AK30" s="324" t="str">
        <f t="shared" si="21"/>
        <v/>
      </c>
      <c r="AL30" s="69"/>
      <c r="AM30" s="61"/>
      <c r="AN30" s="324" t="str">
        <f t="shared" si="22"/>
        <v/>
      </c>
      <c r="AO30" s="74" t="str">
        <f t="shared" si="23"/>
        <v/>
      </c>
      <c r="AP30" s="62" t="str">
        <f t="shared" si="23"/>
        <v/>
      </c>
      <c r="AQ30" s="324" t="str">
        <f t="shared" si="24"/>
        <v/>
      </c>
      <c r="AR30" s="74" t="str">
        <f t="shared" si="6"/>
        <v/>
      </c>
      <c r="AS30" s="62" t="str">
        <f t="shared" si="7"/>
        <v/>
      </c>
      <c r="AT30" s="324" t="str">
        <f t="shared" si="25"/>
        <v/>
      </c>
    </row>
    <row r="31" spans="1:46" ht="18" customHeight="1">
      <c r="A31" s="77" t="str">
        <f>IF($C$9="Data Not Entered On Set-Up Worksheet","",IF(OR(VLOOKUP($C$9,County_Lookup,16,FALSE)="",VLOOKUP($C$9,County_Lookup,16,FALSE)=0),"",VLOOKUP($C$9,County_Lookup,16,FALSE)))</f>
        <v/>
      </c>
      <c r="B31" s="69"/>
      <c r="C31" s="61"/>
      <c r="D31" s="324" t="str">
        <f t="shared" si="8"/>
        <v/>
      </c>
      <c r="E31" s="69"/>
      <c r="F31" s="61"/>
      <c r="G31" s="324" t="str">
        <f t="shared" si="9"/>
        <v/>
      </c>
      <c r="H31" s="69"/>
      <c r="I31" s="61"/>
      <c r="J31" s="324" t="str">
        <f t="shared" si="10"/>
        <v/>
      </c>
      <c r="K31" s="74" t="str">
        <f t="shared" si="11"/>
        <v/>
      </c>
      <c r="L31" s="62" t="str">
        <f t="shared" si="11"/>
        <v/>
      </c>
      <c r="M31" s="324" t="str">
        <f t="shared" si="12"/>
        <v/>
      </c>
      <c r="N31" s="74" t="str">
        <f t="shared" si="2"/>
        <v/>
      </c>
      <c r="O31" s="62" t="str">
        <f t="shared" si="3"/>
        <v/>
      </c>
      <c r="P31" s="324" t="str">
        <f t="shared" si="13"/>
        <v/>
      </c>
      <c r="Q31" s="69"/>
      <c r="R31" s="61"/>
      <c r="S31" s="324" t="str">
        <f t="shared" si="14"/>
        <v/>
      </c>
      <c r="T31" s="69"/>
      <c r="U31" s="61"/>
      <c r="V31" s="324" t="str">
        <f t="shared" si="15"/>
        <v/>
      </c>
      <c r="W31" s="69"/>
      <c r="X31" s="61"/>
      <c r="Y31" s="324" t="str">
        <f t="shared" si="16"/>
        <v/>
      </c>
      <c r="Z31" s="74" t="str">
        <f t="shared" si="17"/>
        <v/>
      </c>
      <c r="AA31" s="62" t="str">
        <f t="shared" si="17"/>
        <v/>
      </c>
      <c r="AB31" s="324" t="str">
        <f t="shared" si="18"/>
        <v/>
      </c>
      <c r="AC31" s="74" t="str">
        <f t="shared" si="4"/>
        <v/>
      </c>
      <c r="AD31" s="62" t="str">
        <f t="shared" si="5"/>
        <v/>
      </c>
      <c r="AE31" s="324" t="str">
        <f t="shared" si="19"/>
        <v/>
      </c>
      <c r="AF31" s="69"/>
      <c r="AG31" s="61"/>
      <c r="AH31" s="324" t="str">
        <f t="shared" si="20"/>
        <v/>
      </c>
      <c r="AI31" s="69"/>
      <c r="AJ31" s="61"/>
      <c r="AK31" s="324" t="str">
        <f t="shared" si="21"/>
        <v/>
      </c>
      <c r="AL31" s="69"/>
      <c r="AM31" s="61"/>
      <c r="AN31" s="324" t="str">
        <f t="shared" si="22"/>
        <v/>
      </c>
      <c r="AO31" s="74" t="str">
        <f t="shared" si="23"/>
        <v/>
      </c>
      <c r="AP31" s="62" t="str">
        <f t="shared" si="23"/>
        <v/>
      </c>
      <c r="AQ31" s="324" t="str">
        <f t="shared" si="24"/>
        <v/>
      </c>
      <c r="AR31" s="74" t="str">
        <f t="shared" si="6"/>
        <v/>
      </c>
      <c r="AS31" s="62" t="str">
        <f t="shared" si="7"/>
        <v/>
      </c>
      <c r="AT31" s="324" t="str">
        <f t="shared" si="25"/>
        <v/>
      </c>
    </row>
    <row r="32" spans="1:46" ht="18" customHeight="1">
      <c r="A32" s="77" t="str">
        <f>IF($C$9="Data Not Entered On Set-Up Worksheet","",IF(OR(VLOOKUP($C$9,County_Lookup,17,FALSE)="",VLOOKUP($C$9,County_Lookup,17,FALSE)=0),"",VLOOKUP($C$9,County_Lookup,17,FALSE)))</f>
        <v/>
      </c>
      <c r="B32" s="69"/>
      <c r="C32" s="61"/>
      <c r="D32" s="324" t="str">
        <f t="shared" si="8"/>
        <v/>
      </c>
      <c r="E32" s="69"/>
      <c r="F32" s="61"/>
      <c r="G32" s="324" t="str">
        <f t="shared" si="9"/>
        <v/>
      </c>
      <c r="H32" s="69"/>
      <c r="I32" s="61"/>
      <c r="J32" s="324" t="str">
        <f t="shared" si="10"/>
        <v/>
      </c>
      <c r="K32" s="74" t="str">
        <f t="shared" si="11"/>
        <v/>
      </c>
      <c r="L32" s="62" t="str">
        <f t="shared" si="11"/>
        <v/>
      </c>
      <c r="M32" s="324" t="str">
        <f t="shared" si="12"/>
        <v/>
      </c>
      <c r="N32" s="74" t="str">
        <f t="shared" si="2"/>
        <v/>
      </c>
      <c r="O32" s="62" t="str">
        <f t="shared" si="3"/>
        <v/>
      </c>
      <c r="P32" s="324" t="str">
        <f t="shared" si="13"/>
        <v/>
      </c>
      <c r="Q32" s="69"/>
      <c r="R32" s="61"/>
      <c r="S32" s="324" t="str">
        <f t="shared" si="14"/>
        <v/>
      </c>
      <c r="T32" s="69"/>
      <c r="U32" s="61"/>
      <c r="V32" s="324" t="str">
        <f t="shared" si="15"/>
        <v/>
      </c>
      <c r="W32" s="69"/>
      <c r="X32" s="61"/>
      <c r="Y32" s="324" t="str">
        <f t="shared" si="16"/>
        <v/>
      </c>
      <c r="Z32" s="74" t="str">
        <f t="shared" si="17"/>
        <v/>
      </c>
      <c r="AA32" s="62" t="str">
        <f t="shared" si="17"/>
        <v/>
      </c>
      <c r="AB32" s="324" t="str">
        <f t="shared" si="18"/>
        <v/>
      </c>
      <c r="AC32" s="74" t="str">
        <f t="shared" si="4"/>
        <v/>
      </c>
      <c r="AD32" s="62" t="str">
        <f t="shared" si="5"/>
        <v/>
      </c>
      <c r="AE32" s="324" t="str">
        <f t="shared" si="19"/>
        <v/>
      </c>
      <c r="AF32" s="69"/>
      <c r="AG32" s="61"/>
      <c r="AH32" s="324" t="str">
        <f t="shared" si="20"/>
        <v/>
      </c>
      <c r="AI32" s="69"/>
      <c r="AJ32" s="61"/>
      <c r="AK32" s="324" t="str">
        <f t="shared" si="21"/>
        <v/>
      </c>
      <c r="AL32" s="69"/>
      <c r="AM32" s="61"/>
      <c r="AN32" s="324" t="str">
        <f t="shared" si="22"/>
        <v/>
      </c>
      <c r="AO32" s="74" t="str">
        <f t="shared" si="23"/>
        <v/>
      </c>
      <c r="AP32" s="62" t="str">
        <f t="shared" si="23"/>
        <v/>
      </c>
      <c r="AQ32" s="324" t="str">
        <f t="shared" si="24"/>
        <v/>
      </c>
      <c r="AR32" s="74" t="str">
        <f t="shared" si="6"/>
        <v/>
      </c>
      <c r="AS32" s="62" t="str">
        <f t="shared" si="7"/>
        <v/>
      </c>
      <c r="AT32" s="324" t="str">
        <f t="shared" si="25"/>
        <v/>
      </c>
    </row>
    <row r="33" spans="1:46" ht="18" customHeight="1">
      <c r="A33" s="77" t="str">
        <f>IF($C$9="Data Not Entered On Set-Up Worksheet","",IF(OR(VLOOKUP($C$9,County_Lookup,18,FALSE)="",VLOOKUP($C$9,County_Lookup,18,FALSE)=0),"",VLOOKUP($C$9,County_Lookup,18,FALSE)))</f>
        <v/>
      </c>
      <c r="B33" s="69"/>
      <c r="C33" s="61"/>
      <c r="D33" s="324" t="str">
        <f t="shared" si="8"/>
        <v/>
      </c>
      <c r="E33" s="69"/>
      <c r="F33" s="61"/>
      <c r="G33" s="324" t="str">
        <f t="shared" si="9"/>
        <v/>
      </c>
      <c r="H33" s="69"/>
      <c r="I33" s="61"/>
      <c r="J33" s="324" t="str">
        <f t="shared" si="10"/>
        <v/>
      </c>
      <c r="K33" s="74" t="str">
        <f t="shared" si="11"/>
        <v/>
      </c>
      <c r="L33" s="62" t="str">
        <f t="shared" si="11"/>
        <v/>
      </c>
      <c r="M33" s="324" t="str">
        <f t="shared" si="12"/>
        <v/>
      </c>
      <c r="N33" s="74" t="str">
        <f t="shared" si="2"/>
        <v/>
      </c>
      <c r="O33" s="62" t="str">
        <f t="shared" si="3"/>
        <v/>
      </c>
      <c r="P33" s="324" t="str">
        <f t="shared" si="13"/>
        <v/>
      </c>
      <c r="Q33" s="69"/>
      <c r="R33" s="61"/>
      <c r="S33" s="324" t="str">
        <f t="shared" si="14"/>
        <v/>
      </c>
      <c r="T33" s="69"/>
      <c r="U33" s="61"/>
      <c r="V33" s="324" t="str">
        <f t="shared" si="15"/>
        <v/>
      </c>
      <c r="W33" s="69"/>
      <c r="X33" s="61"/>
      <c r="Y33" s="324" t="str">
        <f t="shared" si="16"/>
        <v/>
      </c>
      <c r="Z33" s="74" t="str">
        <f t="shared" si="17"/>
        <v/>
      </c>
      <c r="AA33" s="62" t="str">
        <f t="shared" si="17"/>
        <v/>
      </c>
      <c r="AB33" s="324" t="str">
        <f t="shared" si="18"/>
        <v/>
      </c>
      <c r="AC33" s="74" t="str">
        <f t="shared" si="4"/>
        <v/>
      </c>
      <c r="AD33" s="62" t="str">
        <f t="shared" si="5"/>
        <v/>
      </c>
      <c r="AE33" s="324" t="str">
        <f t="shared" si="19"/>
        <v/>
      </c>
      <c r="AF33" s="69"/>
      <c r="AG33" s="61"/>
      <c r="AH33" s="324" t="str">
        <f t="shared" si="20"/>
        <v/>
      </c>
      <c r="AI33" s="69"/>
      <c r="AJ33" s="61"/>
      <c r="AK33" s="324" t="str">
        <f t="shared" si="21"/>
        <v/>
      </c>
      <c r="AL33" s="69"/>
      <c r="AM33" s="61"/>
      <c r="AN33" s="324" t="str">
        <f t="shared" si="22"/>
        <v/>
      </c>
      <c r="AO33" s="74" t="str">
        <f t="shared" si="23"/>
        <v/>
      </c>
      <c r="AP33" s="62" t="str">
        <f t="shared" si="23"/>
        <v/>
      </c>
      <c r="AQ33" s="324" t="str">
        <f t="shared" si="24"/>
        <v/>
      </c>
      <c r="AR33" s="74" t="str">
        <f t="shared" si="6"/>
        <v/>
      </c>
      <c r="AS33" s="62" t="str">
        <f t="shared" si="7"/>
        <v/>
      </c>
      <c r="AT33" s="324" t="str">
        <f t="shared" si="25"/>
        <v/>
      </c>
    </row>
    <row r="34" spans="1:46" ht="18" customHeight="1">
      <c r="A34" s="77" t="str">
        <f>IF($C$9="Data Not Entered On Set-Up Worksheet","",IF(OR(VLOOKUP($C$9,County_Lookup,19,FALSE)="",VLOOKUP($C$9,County_Lookup,19,FALSE)=0),"",VLOOKUP($C$9,County_Lookup,19,FALSE)))</f>
        <v/>
      </c>
      <c r="B34" s="69"/>
      <c r="C34" s="61"/>
      <c r="D34" s="324" t="str">
        <f t="shared" si="8"/>
        <v/>
      </c>
      <c r="E34" s="69"/>
      <c r="F34" s="61"/>
      <c r="G34" s="324" t="str">
        <f t="shared" si="9"/>
        <v/>
      </c>
      <c r="H34" s="69"/>
      <c r="I34" s="61"/>
      <c r="J34" s="324" t="str">
        <f t="shared" si="10"/>
        <v/>
      </c>
      <c r="K34" s="74" t="str">
        <f t="shared" si="11"/>
        <v/>
      </c>
      <c r="L34" s="62" t="str">
        <f t="shared" si="11"/>
        <v/>
      </c>
      <c r="M34" s="324" t="str">
        <f t="shared" si="12"/>
        <v/>
      </c>
      <c r="N34" s="74" t="str">
        <f t="shared" si="2"/>
        <v/>
      </c>
      <c r="O34" s="62" t="str">
        <f t="shared" si="3"/>
        <v/>
      </c>
      <c r="P34" s="324" t="str">
        <f t="shared" si="13"/>
        <v/>
      </c>
      <c r="Q34" s="69"/>
      <c r="R34" s="61"/>
      <c r="S34" s="324" t="str">
        <f t="shared" si="14"/>
        <v/>
      </c>
      <c r="T34" s="69"/>
      <c r="U34" s="61"/>
      <c r="V34" s="324" t="str">
        <f t="shared" si="15"/>
        <v/>
      </c>
      <c r="W34" s="69"/>
      <c r="X34" s="61"/>
      <c r="Y34" s="324" t="str">
        <f t="shared" si="16"/>
        <v/>
      </c>
      <c r="Z34" s="74" t="str">
        <f t="shared" si="17"/>
        <v/>
      </c>
      <c r="AA34" s="62" t="str">
        <f t="shared" si="17"/>
        <v/>
      </c>
      <c r="AB34" s="324" t="str">
        <f t="shared" si="18"/>
        <v/>
      </c>
      <c r="AC34" s="74" t="str">
        <f t="shared" si="4"/>
        <v/>
      </c>
      <c r="AD34" s="62" t="str">
        <f t="shared" si="5"/>
        <v/>
      </c>
      <c r="AE34" s="324" t="str">
        <f t="shared" si="19"/>
        <v/>
      </c>
      <c r="AF34" s="69"/>
      <c r="AG34" s="61"/>
      <c r="AH34" s="324" t="str">
        <f t="shared" si="20"/>
        <v/>
      </c>
      <c r="AI34" s="69"/>
      <c r="AJ34" s="61"/>
      <c r="AK34" s="324" t="str">
        <f t="shared" si="21"/>
        <v/>
      </c>
      <c r="AL34" s="69"/>
      <c r="AM34" s="61"/>
      <c r="AN34" s="324" t="str">
        <f t="shared" si="22"/>
        <v/>
      </c>
      <c r="AO34" s="74" t="str">
        <f t="shared" si="23"/>
        <v/>
      </c>
      <c r="AP34" s="62" t="str">
        <f t="shared" si="23"/>
        <v/>
      </c>
      <c r="AQ34" s="324" t="str">
        <f t="shared" si="24"/>
        <v/>
      </c>
      <c r="AR34" s="74" t="str">
        <f t="shared" si="6"/>
        <v/>
      </c>
      <c r="AS34" s="62" t="str">
        <f t="shared" si="7"/>
        <v/>
      </c>
      <c r="AT34" s="324" t="str">
        <f t="shared" si="25"/>
        <v/>
      </c>
    </row>
    <row r="35" spans="1:46" ht="18" customHeight="1">
      <c r="A35" s="77" t="str">
        <f>IF($C$9="Data Not Entered On Set-Up Worksheet","",IF(OR(VLOOKUP($C$9,County_Lookup,20,FALSE)="",VLOOKUP($C$9,County_Lookup,20,FALSE)=0),"",VLOOKUP($C$9,County_Lookup,20,FALSE)))</f>
        <v/>
      </c>
      <c r="B35" s="69"/>
      <c r="C35" s="61"/>
      <c r="D35" s="324" t="str">
        <f t="shared" si="8"/>
        <v/>
      </c>
      <c r="E35" s="69"/>
      <c r="F35" s="61"/>
      <c r="G35" s="324" t="str">
        <f t="shared" si="9"/>
        <v/>
      </c>
      <c r="H35" s="69"/>
      <c r="I35" s="61"/>
      <c r="J35" s="324" t="str">
        <f t="shared" si="10"/>
        <v/>
      </c>
      <c r="K35" s="74" t="str">
        <f t="shared" si="11"/>
        <v/>
      </c>
      <c r="L35" s="62" t="str">
        <f t="shared" si="11"/>
        <v/>
      </c>
      <c r="M35" s="324" t="str">
        <f t="shared" si="12"/>
        <v/>
      </c>
      <c r="N35" s="74" t="str">
        <f t="shared" si="2"/>
        <v/>
      </c>
      <c r="O35" s="62" t="str">
        <f t="shared" si="3"/>
        <v/>
      </c>
      <c r="P35" s="324" t="str">
        <f t="shared" si="13"/>
        <v/>
      </c>
      <c r="Q35" s="69"/>
      <c r="R35" s="61"/>
      <c r="S35" s="324" t="str">
        <f t="shared" si="14"/>
        <v/>
      </c>
      <c r="T35" s="69"/>
      <c r="U35" s="61"/>
      <c r="V35" s="324" t="str">
        <f t="shared" si="15"/>
        <v/>
      </c>
      <c r="W35" s="69"/>
      <c r="X35" s="61"/>
      <c r="Y35" s="324" t="str">
        <f t="shared" si="16"/>
        <v/>
      </c>
      <c r="Z35" s="74" t="str">
        <f t="shared" si="17"/>
        <v/>
      </c>
      <c r="AA35" s="62" t="str">
        <f t="shared" si="17"/>
        <v/>
      </c>
      <c r="AB35" s="324" t="str">
        <f t="shared" si="18"/>
        <v/>
      </c>
      <c r="AC35" s="74" t="str">
        <f t="shared" si="4"/>
        <v/>
      </c>
      <c r="AD35" s="62" t="str">
        <f t="shared" si="5"/>
        <v/>
      </c>
      <c r="AE35" s="324" t="str">
        <f t="shared" si="19"/>
        <v/>
      </c>
      <c r="AF35" s="69"/>
      <c r="AG35" s="61"/>
      <c r="AH35" s="324" t="str">
        <f t="shared" si="20"/>
        <v/>
      </c>
      <c r="AI35" s="69"/>
      <c r="AJ35" s="61"/>
      <c r="AK35" s="324" t="str">
        <f t="shared" si="21"/>
        <v/>
      </c>
      <c r="AL35" s="69"/>
      <c r="AM35" s="61"/>
      <c r="AN35" s="324" t="str">
        <f t="shared" si="22"/>
        <v/>
      </c>
      <c r="AO35" s="74" t="str">
        <f t="shared" si="23"/>
        <v/>
      </c>
      <c r="AP35" s="62" t="str">
        <f t="shared" si="23"/>
        <v/>
      </c>
      <c r="AQ35" s="324" t="str">
        <f t="shared" si="24"/>
        <v/>
      </c>
      <c r="AR35" s="74" t="str">
        <f t="shared" si="6"/>
        <v/>
      </c>
      <c r="AS35" s="62" t="str">
        <f t="shared" si="7"/>
        <v/>
      </c>
      <c r="AT35" s="324" t="str">
        <f t="shared" si="25"/>
        <v/>
      </c>
    </row>
    <row r="36" spans="1:46" ht="18" customHeight="1">
      <c r="A36" s="77" t="str">
        <f>IF($C$9="Data Not Entered On Set-Up Worksheet","",IF(OR(VLOOKUP($C$9,County_Lookup,21,FALSE)="",VLOOKUP($C$9,County_Lookup,21,FALSE)=0),"",VLOOKUP($C$9,County_Lookup,21,FALSE)))</f>
        <v/>
      </c>
      <c r="B36" s="69"/>
      <c r="C36" s="61"/>
      <c r="D36" s="324" t="str">
        <f t="shared" si="8"/>
        <v/>
      </c>
      <c r="E36" s="69"/>
      <c r="F36" s="61"/>
      <c r="G36" s="324" t="str">
        <f t="shared" si="9"/>
        <v/>
      </c>
      <c r="H36" s="69"/>
      <c r="I36" s="61"/>
      <c r="J36" s="324" t="str">
        <f t="shared" si="10"/>
        <v/>
      </c>
      <c r="K36" s="74" t="str">
        <f t="shared" si="11"/>
        <v/>
      </c>
      <c r="L36" s="62" t="str">
        <f t="shared" si="11"/>
        <v/>
      </c>
      <c r="M36" s="324" t="str">
        <f t="shared" si="12"/>
        <v/>
      </c>
      <c r="N36" s="74" t="str">
        <f t="shared" si="2"/>
        <v/>
      </c>
      <c r="O36" s="62" t="str">
        <f t="shared" si="3"/>
        <v/>
      </c>
      <c r="P36" s="324" t="str">
        <f t="shared" si="13"/>
        <v/>
      </c>
      <c r="Q36" s="69"/>
      <c r="R36" s="61"/>
      <c r="S36" s="324" t="str">
        <f t="shared" si="14"/>
        <v/>
      </c>
      <c r="T36" s="69"/>
      <c r="U36" s="61"/>
      <c r="V36" s="324" t="str">
        <f t="shared" si="15"/>
        <v/>
      </c>
      <c r="W36" s="69"/>
      <c r="X36" s="61"/>
      <c r="Y36" s="324" t="str">
        <f t="shared" si="16"/>
        <v/>
      </c>
      <c r="Z36" s="74" t="str">
        <f t="shared" si="17"/>
        <v/>
      </c>
      <c r="AA36" s="62" t="str">
        <f t="shared" si="17"/>
        <v/>
      </c>
      <c r="AB36" s="324" t="str">
        <f t="shared" si="18"/>
        <v/>
      </c>
      <c r="AC36" s="74" t="str">
        <f t="shared" si="4"/>
        <v/>
      </c>
      <c r="AD36" s="62" t="str">
        <f t="shared" si="5"/>
        <v/>
      </c>
      <c r="AE36" s="324" t="str">
        <f t="shared" si="19"/>
        <v/>
      </c>
      <c r="AF36" s="69"/>
      <c r="AG36" s="61"/>
      <c r="AH36" s="324" t="str">
        <f t="shared" si="20"/>
        <v/>
      </c>
      <c r="AI36" s="69"/>
      <c r="AJ36" s="61"/>
      <c r="AK36" s="324" t="str">
        <f t="shared" si="21"/>
        <v/>
      </c>
      <c r="AL36" s="69"/>
      <c r="AM36" s="61"/>
      <c r="AN36" s="324" t="str">
        <f t="shared" si="22"/>
        <v/>
      </c>
      <c r="AO36" s="74" t="str">
        <f t="shared" si="23"/>
        <v/>
      </c>
      <c r="AP36" s="62" t="str">
        <f t="shared" si="23"/>
        <v/>
      </c>
      <c r="AQ36" s="324" t="str">
        <f t="shared" si="24"/>
        <v/>
      </c>
      <c r="AR36" s="74" t="str">
        <f t="shared" si="6"/>
        <v/>
      </c>
      <c r="AS36" s="62" t="str">
        <f t="shared" si="7"/>
        <v/>
      </c>
      <c r="AT36" s="324" t="str">
        <f t="shared" si="25"/>
        <v/>
      </c>
    </row>
    <row r="37" spans="1:46" ht="18" customHeight="1">
      <c r="A37" s="76" t="str">
        <f>IF($C$9="Data Not Entered On Set-Up Worksheet","",IF(OR(VLOOKUP($C$9,County_Lookup,22,FALSE)="",VLOOKUP($C$9,County_Lookup,22,FALSE)=0),"",VLOOKUP($C$9,County_Lookup,22,FALSE)))</f>
        <v/>
      </c>
      <c r="B37" s="69"/>
      <c r="C37" s="61"/>
      <c r="D37" s="324" t="str">
        <f t="shared" si="8"/>
        <v/>
      </c>
      <c r="E37" s="69"/>
      <c r="F37" s="61"/>
      <c r="G37" s="324" t="str">
        <f t="shared" si="9"/>
        <v/>
      </c>
      <c r="H37" s="69"/>
      <c r="I37" s="61"/>
      <c r="J37" s="324" t="str">
        <f t="shared" si="10"/>
        <v/>
      </c>
      <c r="K37" s="74" t="str">
        <f t="shared" si="11"/>
        <v/>
      </c>
      <c r="L37" s="62" t="str">
        <f t="shared" si="11"/>
        <v/>
      </c>
      <c r="M37" s="324" t="str">
        <f t="shared" si="12"/>
        <v/>
      </c>
      <c r="N37" s="74" t="str">
        <f t="shared" si="2"/>
        <v/>
      </c>
      <c r="O37" s="62" t="str">
        <f t="shared" si="3"/>
        <v/>
      </c>
      <c r="P37" s="324" t="str">
        <f t="shared" si="13"/>
        <v/>
      </c>
      <c r="Q37" s="69"/>
      <c r="R37" s="61"/>
      <c r="S37" s="324" t="str">
        <f t="shared" si="14"/>
        <v/>
      </c>
      <c r="T37" s="69"/>
      <c r="U37" s="61"/>
      <c r="V37" s="324" t="str">
        <f t="shared" si="15"/>
        <v/>
      </c>
      <c r="W37" s="69"/>
      <c r="X37" s="61"/>
      <c r="Y37" s="324" t="str">
        <f t="shared" si="16"/>
        <v/>
      </c>
      <c r="Z37" s="74" t="str">
        <f t="shared" si="17"/>
        <v/>
      </c>
      <c r="AA37" s="62" t="str">
        <f t="shared" si="17"/>
        <v/>
      </c>
      <c r="AB37" s="324" t="str">
        <f t="shared" si="18"/>
        <v/>
      </c>
      <c r="AC37" s="74" t="str">
        <f t="shared" si="4"/>
        <v/>
      </c>
      <c r="AD37" s="62" t="str">
        <f t="shared" si="5"/>
        <v/>
      </c>
      <c r="AE37" s="324" t="str">
        <f t="shared" si="19"/>
        <v/>
      </c>
      <c r="AF37" s="69"/>
      <c r="AG37" s="61"/>
      <c r="AH37" s="324" t="str">
        <f t="shared" si="20"/>
        <v/>
      </c>
      <c r="AI37" s="69"/>
      <c r="AJ37" s="61"/>
      <c r="AK37" s="324" t="str">
        <f t="shared" si="21"/>
        <v/>
      </c>
      <c r="AL37" s="69"/>
      <c r="AM37" s="61"/>
      <c r="AN37" s="324" t="str">
        <f t="shared" si="22"/>
        <v/>
      </c>
      <c r="AO37" s="74" t="str">
        <f t="shared" si="23"/>
        <v/>
      </c>
      <c r="AP37" s="62" t="str">
        <f t="shared" si="23"/>
        <v/>
      </c>
      <c r="AQ37" s="324" t="str">
        <f t="shared" si="24"/>
        <v/>
      </c>
      <c r="AR37" s="74" t="str">
        <f t="shared" si="6"/>
        <v/>
      </c>
      <c r="AS37" s="62" t="str">
        <f t="shared" si="7"/>
        <v/>
      </c>
      <c r="AT37" s="324" t="str">
        <f t="shared" si="25"/>
        <v/>
      </c>
    </row>
    <row r="38" spans="1:46" ht="18" customHeight="1">
      <c r="A38" s="77" t="str">
        <f>IF($C$9="Data Not Entered On Set-Up Worksheet","",IF(OR(VLOOKUP($C$9,County_Lookup,23,FALSE)="",VLOOKUP($C$9,County_Lookup,23,FALSE)=0),"",VLOOKUP($C$9,County_Lookup,23,FALSE)))</f>
        <v/>
      </c>
      <c r="B38" s="69"/>
      <c r="C38" s="61"/>
      <c r="D38" s="324" t="str">
        <f t="shared" si="8"/>
        <v/>
      </c>
      <c r="E38" s="69"/>
      <c r="F38" s="61"/>
      <c r="G38" s="324" t="str">
        <f t="shared" si="9"/>
        <v/>
      </c>
      <c r="H38" s="69"/>
      <c r="I38" s="61"/>
      <c r="J38" s="324" t="str">
        <f t="shared" si="10"/>
        <v/>
      </c>
      <c r="K38" s="74" t="str">
        <f t="shared" si="11"/>
        <v/>
      </c>
      <c r="L38" s="62" t="str">
        <f t="shared" si="11"/>
        <v/>
      </c>
      <c r="M38" s="324" t="str">
        <f t="shared" si="12"/>
        <v/>
      </c>
      <c r="N38" s="74" t="str">
        <f t="shared" si="2"/>
        <v/>
      </c>
      <c r="O38" s="62" t="str">
        <f t="shared" si="3"/>
        <v/>
      </c>
      <c r="P38" s="324" t="str">
        <f t="shared" si="13"/>
        <v/>
      </c>
      <c r="Q38" s="69"/>
      <c r="R38" s="61"/>
      <c r="S38" s="324" t="str">
        <f t="shared" si="14"/>
        <v/>
      </c>
      <c r="T38" s="69"/>
      <c r="U38" s="61"/>
      <c r="V38" s="324" t="str">
        <f t="shared" si="15"/>
        <v/>
      </c>
      <c r="W38" s="69"/>
      <c r="X38" s="61"/>
      <c r="Y38" s="324" t="str">
        <f t="shared" si="16"/>
        <v/>
      </c>
      <c r="Z38" s="74" t="str">
        <f t="shared" si="17"/>
        <v/>
      </c>
      <c r="AA38" s="62" t="str">
        <f t="shared" si="17"/>
        <v/>
      </c>
      <c r="AB38" s="324" t="str">
        <f t="shared" si="18"/>
        <v/>
      </c>
      <c r="AC38" s="74" t="str">
        <f t="shared" si="4"/>
        <v/>
      </c>
      <c r="AD38" s="62" t="str">
        <f t="shared" si="5"/>
        <v/>
      </c>
      <c r="AE38" s="324" t="str">
        <f t="shared" si="19"/>
        <v/>
      </c>
      <c r="AF38" s="69"/>
      <c r="AG38" s="61"/>
      <c r="AH38" s="324" t="str">
        <f t="shared" si="20"/>
        <v/>
      </c>
      <c r="AI38" s="69"/>
      <c r="AJ38" s="61"/>
      <c r="AK38" s="324" t="str">
        <f t="shared" si="21"/>
        <v/>
      </c>
      <c r="AL38" s="69"/>
      <c r="AM38" s="61"/>
      <c r="AN38" s="324" t="str">
        <f t="shared" si="22"/>
        <v/>
      </c>
      <c r="AO38" s="74" t="str">
        <f t="shared" si="23"/>
        <v/>
      </c>
      <c r="AP38" s="62" t="str">
        <f t="shared" si="23"/>
        <v/>
      </c>
      <c r="AQ38" s="324" t="str">
        <f t="shared" si="24"/>
        <v/>
      </c>
      <c r="AR38" s="74" t="str">
        <f t="shared" si="6"/>
        <v/>
      </c>
      <c r="AS38" s="62" t="str">
        <f t="shared" si="7"/>
        <v/>
      </c>
      <c r="AT38" s="324" t="str">
        <f t="shared" si="25"/>
        <v/>
      </c>
    </row>
    <row r="39" spans="1:46" ht="18" customHeight="1">
      <c r="A39" s="77" t="str">
        <f>IF($C$9="Data Not Entered On Set-Up Worksheet","",IF(OR(VLOOKUP($C$9,County_Lookup,24,FALSE)="",VLOOKUP($C$9,County_Lookup,24,FALSE)=0),"",VLOOKUP($C$9,County_Lookup,24,FALSE)))</f>
        <v/>
      </c>
      <c r="B39" s="69"/>
      <c r="C39" s="61"/>
      <c r="D39" s="324" t="str">
        <f t="shared" ref="D39" si="26">IF($A39="","",IF(C39=0,0,B39/C39))</f>
        <v/>
      </c>
      <c r="E39" s="69"/>
      <c r="F39" s="61"/>
      <c r="G39" s="324" t="str">
        <f t="shared" ref="G39" si="27">IF($A39="","",IF(F39=0,0,E39/F39))</f>
        <v/>
      </c>
      <c r="H39" s="69"/>
      <c r="I39" s="61"/>
      <c r="J39" s="324" t="str">
        <f t="shared" ref="J39" si="28">IF($A39="","",IF(I39=0,0,H39/I39))</f>
        <v/>
      </c>
      <c r="K39" s="74" t="str">
        <f t="shared" ref="K39" si="29">IF($A39="","",SUM(E39,H39))</f>
        <v/>
      </c>
      <c r="L39" s="62" t="str">
        <f t="shared" ref="L39" si="30">IF($A39="","",SUM(F39,I39))</f>
        <v/>
      </c>
      <c r="M39" s="324" t="str">
        <f t="shared" ref="M39" si="31">IF($A39="","",IF(L39=0,0,K39/L39))</f>
        <v/>
      </c>
      <c r="N39" s="74" t="str">
        <f t="shared" ref="N39" si="32">IF($A39="","",SUM(B39,E39,H39))</f>
        <v/>
      </c>
      <c r="O39" s="62" t="str">
        <f t="shared" ref="O39" si="33">IF($A39="","",SUM(C39,F39,I39))</f>
        <v/>
      </c>
      <c r="P39" s="324" t="str">
        <f t="shared" ref="P39" si="34">IF($A39="","",IF(O39=0,0,N39/O39))</f>
        <v/>
      </c>
      <c r="Q39" s="69"/>
      <c r="R39" s="61"/>
      <c r="S39" s="324" t="str">
        <f t="shared" ref="S39" si="35">IF($A39="","",IF(R39=0,0,Q39/R39))</f>
        <v/>
      </c>
      <c r="T39" s="69"/>
      <c r="U39" s="61"/>
      <c r="V39" s="324" t="str">
        <f t="shared" ref="V39" si="36">IF($A39="","",IF(U39=0,0,T39/U39))</f>
        <v/>
      </c>
      <c r="W39" s="69"/>
      <c r="X39" s="61"/>
      <c r="Y39" s="324" t="str">
        <f t="shared" ref="Y39" si="37">IF($A39="","",IF(X39=0,0,W39/X39))</f>
        <v/>
      </c>
      <c r="Z39" s="74" t="str">
        <f t="shared" ref="Z39" si="38">IF($A39="","",SUM(T39,W39))</f>
        <v/>
      </c>
      <c r="AA39" s="62" t="str">
        <f t="shared" ref="AA39" si="39">IF($A39="","",SUM(U39,X39))</f>
        <v/>
      </c>
      <c r="AB39" s="324" t="str">
        <f t="shared" ref="AB39" si="40">IF($A39="","",IF(AA39=0,0,Z39/AA39))</f>
        <v/>
      </c>
      <c r="AC39" s="74" t="str">
        <f t="shared" ref="AC39" si="41">IF($A39="","",SUM(Q39,T39,W39))</f>
        <v/>
      </c>
      <c r="AD39" s="62" t="str">
        <f t="shared" ref="AD39" si="42">IF($A39="","",SUM(R39,U39,X39))</f>
        <v/>
      </c>
      <c r="AE39" s="324" t="str">
        <f t="shared" ref="AE39" si="43">IF($A39="","",IF(AD39=0,0,AC39/AD39))</f>
        <v/>
      </c>
      <c r="AF39" s="69"/>
      <c r="AG39" s="61"/>
      <c r="AH39" s="324" t="str">
        <f t="shared" ref="AH39" si="44">IF($A39="","",IF(AG39=0,0,AF39/AG39))</f>
        <v/>
      </c>
      <c r="AI39" s="69"/>
      <c r="AJ39" s="61"/>
      <c r="AK39" s="324" t="str">
        <f t="shared" ref="AK39" si="45">IF($A39="","",IF(AJ39=0,0,AI39/AJ39))</f>
        <v/>
      </c>
      <c r="AL39" s="69"/>
      <c r="AM39" s="61"/>
      <c r="AN39" s="324" t="str">
        <f t="shared" ref="AN39" si="46">IF($A39="","",IF(AM39=0,0,AL39/AM39))</f>
        <v/>
      </c>
      <c r="AO39" s="74" t="str">
        <f t="shared" ref="AO39" si="47">IF($A39="","",SUM(AI39,AL39))</f>
        <v/>
      </c>
      <c r="AP39" s="62" t="str">
        <f t="shared" ref="AP39" si="48">IF($A39="","",SUM(AJ39,AM39))</f>
        <v/>
      </c>
      <c r="AQ39" s="324" t="str">
        <f t="shared" ref="AQ39" si="49">IF($A39="","",IF(AP39=0,0,AO39/AP39))</f>
        <v/>
      </c>
      <c r="AR39" s="74" t="str">
        <f t="shared" ref="AR39" si="50">IF($A39="","",SUM(AF39,AI39,AL39))</f>
        <v/>
      </c>
      <c r="AS39" s="62" t="str">
        <f t="shared" ref="AS39" si="51">IF($A39="","",SUM(AG39,AJ39,AM39))</f>
        <v/>
      </c>
      <c r="AT39" s="324" t="str">
        <f t="shared" ref="AT39" si="52">IF($A39="","",IF(AS39=0,0,AR39/AS39))</f>
        <v/>
      </c>
    </row>
    <row r="40" spans="1:46" ht="18" customHeight="1">
      <c r="A40" s="77" t="str">
        <f>IF($C$9="Data Not Entered On Set-Up Worksheet","",IF(OR(VLOOKUP($C$9,County_Lookup,25,FALSE)="",VLOOKUP($C$9,County_Lookup,25,FALSE)=0),"",VLOOKUP($C$9,County_Lookup,25,FALSE)))</f>
        <v/>
      </c>
      <c r="B40" s="69"/>
      <c r="C40" s="61"/>
      <c r="D40" s="324" t="str">
        <f t="shared" si="8"/>
        <v/>
      </c>
      <c r="E40" s="69"/>
      <c r="F40" s="61"/>
      <c r="G40" s="324" t="str">
        <f t="shared" si="9"/>
        <v/>
      </c>
      <c r="H40" s="69"/>
      <c r="I40" s="61"/>
      <c r="J40" s="324" t="str">
        <f t="shared" si="10"/>
        <v/>
      </c>
      <c r="K40" s="74" t="str">
        <f t="shared" si="11"/>
        <v/>
      </c>
      <c r="L40" s="62" t="str">
        <f t="shared" si="11"/>
        <v/>
      </c>
      <c r="M40" s="324" t="str">
        <f t="shared" si="12"/>
        <v/>
      </c>
      <c r="N40" s="74" t="str">
        <f t="shared" si="2"/>
        <v/>
      </c>
      <c r="O40" s="62" t="str">
        <f t="shared" si="3"/>
        <v/>
      </c>
      <c r="P40" s="324" t="str">
        <f t="shared" si="13"/>
        <v/>
      </c>
      <c r="Q40" s="69"/>
      <c r="R40" s="61"/>
      <c r="S40" s="324" t="str">
        <f t="shared" si="14"/>
        <v/>
      </c>
      <c r="T40" s="69"/>
      <c r="U40" s="61"/>
      <c r="V40" s="324" t="str">
        <f t="shared" si="15"/>
        <v/>
      </c>
      <c r="W40" s="69"/>
      <c r="X40" s="61"/>
      <c r="Y40" s="324" t="str">
        <f t="shared" si="16"/>
        <v/>
      </c>
      <c r="Z40" s="74" t="str">
        <f t="shared" si="17"/>
        <v/>
      </c>
      <c r="AA40" s="62" t="str">
        <f t="shared" si="17"/>
        <v/>
      </c>
      <c r="AB40" s="324" t="str">
        <f t="shared" si="18"/>
        <v/>
      </c>
      <c r="AC40" s="74" t="str">
        <f t="shared" si="4"/>
        <v/>
      </c>
      <c r="AD40" s="62" t="str">
        <f t="shared" si="5"/>
        <v/>
      </c>
      <c r="AE40" s="324" t="str">
        <f t="shared" si="19"/>
        <v/>
      </c>
      <c r="AF40" s="69"/>
      <c r="AG40" s="61"/>
      <c r="AH40" s="324" t="str">
        <f t="shared" si="20"/>
        <v/>
      </c>
      <c r="AI40" s="69"/>
      <c r="AJ40" s="61"/>
      <c r="AK40" s="324" t="str">
        <f t="shared" si="21"/>
        <v/>
      </c>
      <c r="AL40" s="69"/>
      <c r="AM40" s="61"/>
      <c r="AN40" s="324" t="str">
        <f t="shared" si="22"/>
        <v/>
      </c>
      <c r="AO40" s="74" t="str">
        <f t="shared" si="23"/>
        <v/>
      </c>
      <c r="AP40" s="62" t="str">
        <f t="shared" si="23"/>
        <v/>
      </c>
      <c r="AQ40" s="324" t="str">
        <f t="shared" si="24"/>
        <v/>
      </c>
      <c r="AR40" s="74" t="str">
        <f t="shared" si="6"/>
        <v/>
      </c>
      <c r="AS40" s="62" t="str">
        <f t="shared" si="7"/>
        <v/>
      </c>
      <c r="AT40" s="324" t="str">
        <f t="shared" si="25"/>
        <v/>
      </c>
    </row>
    <row r="41" spans="1:46" ht="18" customHeight="1" thickBot="1">
      <c r="A41" s="78" t="s">
        <v>0</v>
      </c>
      <c r="B41" s="71">
        <f>SUM(B17:B40)</f>
        <v>0</v>
      </c>
      <c r="C41" s="72">
        <f>SUM(C17:C40)</f>
        <v>0</v>
      </c>
      <c r="D41" s="325">
        <f t="shared" ref="D41" si="53">IF(C41=0,0,B41/C41)</f>
        <v>0</v>
      </c>
      <c r="E41" s="71">
        <f>SUM(E17:E40)</f>
        <v>0</v>
      </c>
      <c r="F41" s="72">
        <f>SUM(F17:F40)</f>
        <v>0</v>
      </c>
      <c r="G41" s="325">
        <f t="shared" ref="G41" si="54">IF(F41=0,0,E41/F41)</f>
        <v>0</v>
      </c>
      <c r="H41" s="71">
        <f>SUM(H17:H40)</f>
        <v>0</v>
      </c>
      <c r="I41" s="72">
        <f>SUM(I17:I40)</f>
        <v>0</v>
      </c>
      <c r="J41" s="325">
        <f t="shared" ref="J41" si="55">IF(I41=0,0,H41/I41)</f>
        <v>0</v>
      </c>
      <c r="K41" s="71">
        <f>SUM(K17:K40)</f>
        <v>0</v>
      </c>
      <c r="L41" s="72">
        <f>SUM(L17:L40)</f>
        <v>0</v>
      </c>
      <c r="M41" s="325">
        <f t="shared" ref="M41" si="56">IF(L41=0,0,K41/L41)</f>
        <v>0</v>
      </c>
      <c r="N41" s="71">
        <f>SUM(N17:N40)</f>
        <v>0</v>
      </c>
      <c r="O41" s="72">
        <f>SUM(O17:O40)</f>
        <v>0</v>
      </c>
      <c r="P41" s="325">
        <f t="shared" ref="P41" si="57">IF(O41=0,0,N41/O41)</f>
        <v>0</v>
      </c>
      <c r="Q41" s="71">
        <f>SUM(Q17:Q40)</f>
        <v>0</v>
      </c>
      <c r="R41" s="72">
        <f>SUM(R17:R40)</f>
        <v>0</v>
      </c>
      <c r="S41" s="325">
        <f t="shared" ref="S41" si="58">IF(R41=0,0,Q41/R41)</f>
        <v>0</v>
      </c>
      <c r="T41" s="71">
        <f>SUM(T17:T40)</f>
        <v>0</v>
      </c>
      <c r="U41" s="72">
        <f>SUM(U17:U40)</f>
        <v>0</v>
      </c>
      <c r="V41" s="325">
        <f t="shared" ref="V41" si="59">IF(U41=0,0,T41/U41)</f>
        <v>0</v>
      </c>
      <c r="W41" s="71">
        <f>SUM(W17:W40)</f>
        <v>0</v>
      </c>
      <c r="X41" s="72">
        <f>SUM(X17:X40)</f>
        <v>0</v>
      </c>
      <c r="Y41" s="325">
        <f t="shared" ref="Y41" si="60">IF(X41=0,0,W41/X41)</f>
        <v>0</v>
      </c>
      <c r="Z41" s="71">
        <f>SUM(Z17:Z40)</f>
        <v>0</v>
      </c>
      <c r="AA41" s="72">
        <f>SUM(AA17:AA40)</f>
        <v>0</v>
      </c>
      <c r="AB41" s="325">
        <f t="shared" ref="AB41" si="61">IF(AA41=0,0,Z41/AA41)</f>
        <v>0</v>
      </c>
      <c r="AC41" s="71">
        <f>SUM(AC17:AC40)</f>
        <v>0</v>
      </c>
      <c r="AD41" s="72">
        <f>SUM(AD17:AD40)</f>
        <v>0</v>
      </c>
      <c r="AE41" s="325">
        <f t="shared" ref="AE41" si="62">IF(AD41=0,0,AC41/AD41)</f>
        <v>0</v>
      </c>
      <c r="AF41" s="71">
        <f>SUM(AF17:AF40)</f>
        <v>0</v>
      </c>
      <c r="AG41" s="72">
        <f>SUM(AG17:AG40)</f>
        <v>0</v>
      </c>
      <c r="AH41" s="325">
        <f t="shared" ref="AH41" si="63">IF(AG41=0,0,AF41/AG41)</f>
        <v>0</v>
      </c>
      <c r="AI41" s="71">
        <f>SUM(AI17:AI40)</f>
        <v>0</v>
      </c>
      <c r="AJ41" s="72">
        <f>SUM(AJ17:AJ40)</f>
        <v>0</v>
      </c>
      <c r="AK41" s="325">
        <f t="shared" ref="AK41" si="64">IF(AJ41=0,0,AI41/AJ41)</f>
        <v>0</v>
      </c>
      <c r="AL41" s="71">
        <f>SUM(AL17:AL40)</f>
        <v>0</v>
      </c>
      <c r="AM41" s="72">
        <f>SUM(AM17:AM40)</f>
        <v>0</v>
      </c>
      <c r="AN41" s="325">
        <f t="shared" ref="AN41" si="65">IF(AM41=0,0,AL41/AM41)</f>
        <v>0</v>
      </c>
      <c r="AO41" s="71">
        <f>SUM(AO17:AO40)</f>
        <v>0</v>
      </c>
      <c r="AP41" s="72">
        <f>SUM(AP17:AP40)</f>
        <v>0</v>
      </c>
      <c r="AQ41" s="325">
        <f t="shared" ref="AQ41" si="66">IF(AP41=0,0,AO41/AP41)</f>
        <v>0</v>
      </c>
      <c r="AR41" s="71">
        <f>SUM(AR17:AR40)</f>
        <v>0</v>
      </c>
      <c r="AS41" s="72">
        <f>SUM(AS17:AS40)</f>
        <v>0</v>
      </c>
      <c r="AT41" s="325">
        <f t="shared" ref="AT41" si="67">IF(AS41=0,0,AR41/AS41)</f>
        <v>0</v>
      </c>
    </row>
  </sheetData>
  <sheetProtection sheet="1" objects="1" scenarios="1"/>
  <conditionalFormatting sqref="C3:C4">
    <cfRule type="expression" dxfId="267" priority="76">
      <formula>C3="Data Not Entered On Set-Up Worksheet"</formula>
    </cfRule>
  </conditionalFormatting>
  <conditionalFormatting sqref="C9">
    <cfRule type="expression" dxfId="266" priority="75">
      <formula>C9="Data Not Entered On Set-Up Worksheet"</formula>
    </cfRule>
  </conditionalFormatting>
  <conditionalFormatting sqref="C12">
    <cfRule type="expression" dxfId="265" priority="74">
      <formula>C12="Data Not Entered On Set-Up Worksheet"</formula>
    </cfRule>
  </conditionalFormatting>
  <conditionalFormatting sqref="B17:C40">
    <cfRule type="expression" dxfId="264" priority="3">
      <formula>$A17="Other"</formula>
    </cfRule>
    <cfRule type="expression" dxfId="263" priority="73">
      <formula>AND($A17&lt;&gt;"",B17="")</formula>
    </cfRule>
  </conditionalFormatting>
  <conditionalFormatting sqref="F3">
    <cfRule type="expression" dxfId="262" priority="72">
      <formula>F3="Data Not Entered On Set-Up Worksheet"</formula>
    </cfRule>
  </conditionalFormatting>
  <conditionalFormatting sqref="F12">
    <cfRule type="expression" dxfId="261" priority="71">
      <formula>F12="Data Not Entered On Set-Up Worksheet"</formula>
    </cfRule>
  </conditionalFormatting>
  <conditionalFormatting sqref="I3">
    <cfRule type="expression" dxfId="260" priority="70">
      <formula>I3="Data Not Entered On Set-Up Worksheet"</formula>
    </cfRule>
  </conditionalFormatting>
  <conditionalFormatting sqref="I9">
    <cfRule type="expression" dxfId="259" priority="69">
      <formula>I9="Data Not Entered On Set-Up Worksheet"</formula>
    </cfRule>
  </conditionalFormatting>
  <conditionalFormatting sqref="I11:I12">
    <cfRule type="expression" dxfId="258" priority="68">
      <formula>I11="Data Not Entered On Set-Up Worksheet"</formula>
    </cfRule>
  </conditionalFormatting>
  <conditionalFormatting sqref="L3">
    <cfRule type="expression" dxfId="257" priority="67">
      <formula>L3="Data Not Entered On Set-Up Worksheet"</formula>
    </cfRule>
  </conditionalFormatting>
  <conditionalFormatting sqref="L9">
    <cfRule type="expression" dxfId="256" priority="66">
      <formula>L9="Data Not Entered On Set-Up Worksheet"</formula>
    </cfRule>
  </conditionalFormatting>
  <conditionalFormatting sqref="L11:L12">
    <cfRule type="expression" dxfId="255" priority="65">
      <formula>L11="Data Not Entered On Set-Up Worksheet"</formula>
    </cfRule>
  </conditionalFormatting>
  <conditionalFormatting sqref="R3">
    <cfRule type="expression" dxfId="254" priority="64">
      <formula>R3="Data Not Entered On Set-Up Worksheet"</formula>
    </cfRule>
  </conditionalFormatting>
  <conditionalFormatting sqref="R9">
    <cfRule type="expression" dxfId="253" priority="63">
      <formula>R9="Data Not Entered On Set-Up Worksheet"</formula>
    </cfRule>
  </conditionalFormatting>
  <conditionalFormatting sqref="R11:R12">
    <cfRule type="expression" dxfId="252" priority="62">
      <formula>R11="Data Not Entered On Set-Up Worksheet"</formula>
    </cfRule>
  </conditionalFormatting>
  <conditionalFormatting sqref="U3">
    <cfRule type="expression" dxfId="251" priority="61">
      <formula>U3="Data Not Entered On Set-Up Worksheet"</formula>
    </cfRule>
  </conditionalFormatting>
  <conditionalFormatting sqref="U9">
    <cfRule type="expression" dxfId="250" priority="60">
      <formula>U9="Data Not Entered On Set-Up Worksheet"</formula>
    </cfRule>
  </conditionalFormatting>
  <conditionalFormatting sqref="U11:U12">
    <cfRule type="expression" dxfId="249" priority="59">
      <formula>U11="Data Not Entered On Set-Up Worksheet"</formula>
    </cfRule>
  </conditionalFormatting>
  <conditionalFormatting sqref="X3">
    <cfRule type="expression" dxfId="248" priority="58">
      <formula>X3="Data Not Entered On Set-Up Worksheet"</formula>
    </cfRule>
  </conditionalFormatting>
  <conditionalFormatting sqref="X9">
    <cfRule type="expression" dxfId="247" priority="57">
      <formula>X9="Data Not Entered On Set-Up Worksheet"</formula>
    </cfRule>
  </conditionalFormatting>
  <conditionalFormatting sqref="X11:X12">
    <cfRule type="expression" dxfId="246" priority="56">
      <formula>X11="Data Not Entered On Set-Up Worksheet"</formula>
    </cfRule>
  </conditionalFormatting>
  <conditionalFormatting sqref="E17:F40">
    <cfRule type="expression" dxfId="245" priority="2">
      <formula>$A17="Other"</formula>
    </cfRule>
    <cfRule type="expression" dxfId="244" priority="55">
      <formula>AND($A17&lt;&gt;"",E17="")</formula>
    </cfRule>
  </conditionalFormatting>
  <conditionalFormatting sqref="H17:I40">
    <cfRule type="expression" dxfId="243" priority="1">
      <formula>$A17="Other"</formula>
    </cfRule>
    <cfRule type="expression" dxfId="242" priority="54">
      <formula>AND($A17&lt;&gt;"",H17="")</formula>
    </cfRule>
  </conditionalFormatting>
  <conditionalFormatting sqref="Q17:R40">
    <cfRule type="expression" dxfId="241" priority="53">
      <formula>AND($A17&lt;&gt;"",Q17="")</formula>
    </cfRule>
  </conditionalFormatting>
  <conditionalFormatting sqref="T17:U40">
    <cfRule type="expression" dxfId="240" priority="52">
      <formula>AND($A17&lt;&gt;"",T17="")</formula>
    </cfRule>
  </conditionalFormatting>
  <conditionalFormatting sqref="W17:X40">
    <cfRule type="expression" dxfId="239" priority="51">
      <formula>AND($A17&lt;&gt;"",W17="")</formula>
    </cfRule>
  </conditionalFormatting>
  <conditionalFormatting sqref="AA3">
    <cfRule type="expression" dxfId="238" priority="50">
      <formula>AA3="Data Not Entered On Set-Up Worksheet"</formula>
    </cfRule>
  </conditionalFormatting>
  <conditionalFormatting sqref="AG3">
    <cfRule type="expression" dxfId="237" priority="47">
      <formula>AG3="Data Not Entered On Set-Up Worksheet"</formula>
    </cfRule>
  </conditionalFormatting>
  <conditionalFormatting sqref="AA9">
    <cfRule type="expression" dxfId="236" priority="49">
      <formula>AA9="Data Not Entered On Set-Up Worksheet"</formula>
    </cfRule>
  </conditionalFormatting>
  <conditionalFormatting sqref="AA11:AA12">
    <cfRule type="expression" dxfId="235" priority="48">
      <formula>AA11="Data Not Entered On Set-Up Worksheet"</formula>
    </cfRule>
  </conditionalFormatting>
  <conditionalFormatting sqref="AJ3">
    <cfRule type="expression" dxfId="234" priority="44">
      <formula>AJ3="Data Not Entered On Set-Up Worksheet"</formula>
    </cfRule>
  </conditionalFormatting>
  <conditionalFormatting sqref="AG9">
    <cfRule type="expression" dxfId="233" priority="46">
      <formula>AG9="Data Not Entered On Set-Up Worksheet"</formula>
    </cfRule>
  </conditionalFormatting>
  <conditionalFormatting sqref="AG11:AG12">
    <cfRule type="expression" dxfId="232" priority="45">
      <formula>AG11="Data Not Entered On Set-Up Worksheet"</formula>
    </cfRule>
  </conditionalFormatting>
  <conditionalFormatting sqref="AM3">
    <cfRule type="expression" dxfId="231" priority="41">
      <formula>AM3="Data Not Entered On Set-Up Worksheet"</formula>
    </cfRule>
  </conditionalFormatting>
  <conditionalFormatting sqref="AJ9">
    <cfRule type="expression" dxfId="230" priority="43">
      <formula>AJ9="Data Not Entered On Set-Up Worksheet"</formula>
    </cfRule>
  </conditionalFormatting>
  <conditionalFormatting sqref="AJ11:AJ12">
    <cfRule type="expression" dxfId="229" priority="42">
      <formula>AJ11="Data Not Entered On Set-Up Worksheet"</formula>
    </cfRule>
  </conditionalFormatting>
  <conditionalFormatting sqref="AM9">
    <cfRule type="expression" dxfId="228" priority="40">
      <formula>AM9="Data Not Entered On Set-Up Worksheet"</formula>
    </cfRule>
  </conditionalFormatting>
  <conditionalFormatting sqref="AM11:AM12">
    <cfRule type="expression" dxfId="227" priority="39">
      <formula>AM11="Data Not Entered On Set-Up Worksheet"</formula>
    </cfRule>
  </conditionalFormatting>
  <conditionalFormatting sqref="AF17:AG40">
    <cfRule type="expression" dxfId="226" priority="38">
      <formula>AND($A17&lt;&gt;"",AF17="")</formula>
    </cfRule>
  </conditionalFormatting>
  <conditionalFormatting sqref="AI17:AJ40">
    <cfRule type="expression" dxfId="225" priority="37">
      <formula>AND($A17&lt;&gt;"",AI17="")</formula>
    </cfRule>
  </conditionalFormatting>
  <conditionalFormatting sqref="AL17:AM40">
    <cfRule type="expression" dxfId="224" priority="36">
      <formula>AND($A17&lt;&gt;"",AL17="")</formula>
    </cfRule>
  </conditionalFormatting>
  <conditionalFormatting sqref="AP3">
    <cfRule type="expression" dxfId="223" priority="35">
      <formula>AP3="Data Not Entered On Set-Up Worksheet"</formula>
    </cfRule>
  </conditionalFormatting>
  <conditionalFormatting sqref="AP9">
    <cfRule type="expression" dxfId="222" priority="34">
      <formula>AP9="Data Not Entered On Set-Up Worksheet"</formula>
    </cfRule>
  </conditionalFormatting>
  <conditionalFormatting sqref="AP11:AP12">
    <cfRule type="expression" dxfId="221" priority="33">
      <formula>AP11="Data Not Entered On Set-Up Worksheet"</formula>
    </cfRule>
  </conditionalFormatting>
  <conditionalFormatting sqref="F10:F11">
    <cfRule type="expression" dxfId="220" priority="23">
      <formula>F10="Data Not Entered On Set-Up Worksheet"</formula>
    </cfRule>
  </conditionalFormatting>
  <conditionalFormatting sqref="C11">
    <cfRule type="expression" dxfId="219" priority="22">
      <formula>C11="Data Not Entered On Set-Up Worksheet"</formula>
    </cfRule>
  </conditionalFormatting>
  <conditionalFormatting sqref="O3">
    <cfRule type="expression" dxfId="218" priority="21">
      <formula>O3="Data Not Entered On Set-Up Worksheet"</formula>
    </cfRule>
  </conditionalFormatting>
  <conditionalFormatting sqref="O9">
    <cfRule type="expression" dxfId="217" priority="20">
      <formula>O9="Data Not Entered On Set-Up Worksheet"</formula>
    </cfRule>
  </conditionalFormatting>
  <conditionalFormatting sqref="O11:O12">
    <cfRule type="expression" dxfId="216" priority="19">
      <formula>O11="Data Not Entered On Set-Up Worksheet"</formula>
    </cfRule>
  </conditionalFormatting>
  <conditionalFormatting sqref="AD3">
    <cfRule type="expression" dxfId="215" priority="18">
      <formula>AD3="Data Not Entered On Set-Up Worksheet"</formula>
    </cfRule>
  </conditionalFormatting>
  <conditionalFormatting sqref="AD9">
    <cfRule type="expression" dxfId="214" priority="17">
      <formula>AD9="Data Not Entered On Set-Up Worksheet"</formula>
    </cfRule>
  </conditionalFormatting>
  <conditionalFormatting sqref="AD11:AD12">
    <cfRule type="expression" dxfId="213" priority="16">
      <formula>AD11="Data Not Entered On Set-Up Worksheet"</formula>
    </cfRule>
  </conditionalFormatting>
  <conditionalFormatting sqref="AS3">
    <cfRule type="expression" dxfId="212" priority="15">
      <formula>AS3="Data Not Entered On Set-Up Worksheet"</formula>
    </cfRule>
  </conditionalFormatting>
  <conditionalFormatting sqref="AS9">
    <cfRule type="expression" dxfId="211" priority="14">
      <formula>AS9="Data Not Entered On Set-Up Worksheet"</formula>
    </cfRule>
  </conditionalFormatting>
  <conditionalFormatting sqref="AS11:AS12">
    <cfRule type="expression" dxfId="210" priority="13">
      <formula>AS11="Data Not Entered On Set-Up Worksheet"</formula>
    </cfRule>
  </conditionalFormatting>
  <conditionalFormatting sqref="Q39:R39">
    <cfRule type="expression" dxfId="209" priority="9">
      <formula>AND($A39&lt;&gt;"",Q39="")</formula>
    </cfRule>
  </conditionalFormatting>
  <conditionalFormatting sqref="T39:U39">
    <cfRule type="expression" dxfId="208" priority="8">
      <formula>AND($A39&lt;&gt;"",T39="")</formula>
    </cfRule>
  </conditionalFormatting>
  <conditionalFormatting sqref="W39:X39">
    <cfRule type="expression" dxfId="207" priority="7">
      <formula>AND($A39&lt;&gt;"",W39="")</formula>
    </cfRule>
  </conditionalFormatting>
  <conditionalFormatting sqref="AF39:AG39">
    <cfRule type="expression" dxfId="206" priority="6">
      <formula>AND($A39&lt;&gt;"",AF39="")</formula>
    </cfRule>
  </conditionalFormatting>
  <conditionalFormatting sqref="AI39:AJ39">
    <cfRule type="expression" dxfId="205" priority="5">
      <formula>AND($A39&lt;&gt;"",AI39="")</formula>
    </cfRule>
  </conditionalFormatting>
  <conditionalFormatting sqref="AL39:AM39">
    <cfRule type="expression" dxfId="204" priority="4">
      <formula>AND($A39&lt;&gt;"",AL39="")</formula>
    </cfRule>
  </conditionalFormatting>
  <pageMargins left="0.5" right="0.5" top="0.5" bottom="0.5" header="0.3" footer="0.3"/>
  <pageSetup scale="53" fitToWidth="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Z4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E11" sqref="E11"/>
    </sheetView>
  </sheetViews>
  <sheetFormatPr defaultRowHeight="12.75"/>
  <cols>
    <col min="1" max="1" width="22.42578125" style="22" customWidth="1"/>
    <col min="2" max="2" width="16.7109375" style="22" customWidth="1"/>
    <col min="3" max="3" width="14.7109375" style="22" customWidth="1"/>
    <col min="4" max="5" width="16.7109375" style="22" customWidth="1"/>
    <col min="6" max="6" width="14.7109375" style="22" customWidth="1"/>
    <col min="7" max="8" width="16.7109375" style="22" customWidth="1"/>
    <col min="9" max="9" width="14.7109375" style="22" customWidth="1"/>
    <col min="10" max="11" width="16.7109375" style="22" customWidth="1"/>
    <col min="12" max="12" width="14.7109375" style="22" customWidth="1"/>
    <col min="13" max="14" width="16.7109375" style="22" customWidth="1"/>
    <col min="15" max="15" width="14.7109375" style="22" customWidth="1"/>
    <col min="16" max="17" width="16.7109375" style="22" customWidth="1"/>
    <col min="18" max="18" width="14.7109375" style="22" customWidth="1"/>
    <col min="19" max="20" width="16.7109375" style="22" customWidth="1"/>
    <col min="21" max="21" width="14.7109375" style="22" customWidth="1"/>
    <col min="22" max="23" width="16.7109375" style="22" customWidth="1"/>
    <col min="24" max="24" width="14.7109375" style="22" customWidth="1"/>
    <col min="25" max="26" width="16.7109375" style="22" customWidth="1"/>
    <col min="27" max="27" width="14.7109375" style="22" customWidth="1"/>
    <col min="28" max="29" width="16.7109375" style="22" customWidth="1"/>
    <col min="30" max="30" width="14.7109375" style="22" customWidth="1"/>
    <col min="31" max="32" width="16.7109375" style="22" customWidth="1"/>
    <col min="33" max="33" width="14.7109375" style="22" customWidth="1"/>
    <col min="34" max="35" width="16.7109375" style="22" customWidth="1"/>
    <col min="36" max="36" width="14.7109375" style="22" customWidth="1"/>
    <col min="37" max="37" width="16.7109375" style="22" customWidth="1"/>
    <col min="38" max="40" width="18.7109375" style="22" customWidth="1"/>
    <col min="41" max="41" width="8.85546875" style="22" bestFit="1" customWidth="1"/>
    <col min="42" max="16384" width="9.140625" style="22"/>
  </cols>
  <sheetData>
    <row r="1" spans="1:52" ht="15" customHeight="1">
      <c r="A1" s="36" t="s">
        <v>28</v>
      </c>
      <c r="N1" s="30" t="s">
        <v>332</v>
      </c>
      <c r="Z1" s="30" t="s">
        <v>332</v>
      </c>
      <c r="AL1" s="30" t="s">
        <v>332</v>
      </c>
    </row>
    <row r="2" spans="1:52" ht="15" customHeight="1">
      <c r="A2" s="36" t="s">
        <v>198</v>
      </c>
      <c r="N2" s="321" t="s">
        <v>333</v>
      </c>
      <c r="Z2" s="321" t="s">
        <v>333</v>
      </c>
      <c r="AL2" s="321" t="s">
        <v>333</v>
      </c>
    </row>
    <row r="3" spans="1:52" ht="15" customHeight="1">
      <c r="A3" s="30" t="s">
        <v>196</v>
      </c>
      <c r="C3" s="147">
        <f>IF('Set-Up Worksheet'!F3="","Data Not Entered On Set-Up Worksheet",'Set-Up Worksheet'!F3)</f>
        <v>2017</v>
      </c>
      <c r="F3" s="38"/>
      <c r="I3" s="38"/>
      <c r="L3" s="38"/>
      <c r="O3" s="147">
        <f t="shared" ref="O3:O11" si="0">C3</f>
        <v>2017</v>
      </c>
      <c r="R3" s="38"/>
      <c r="U3" s="38"/>
      <c r="X3" s="38"/>
      <c r="AA3" s="147">
        <f t="shared" ref="AA3:AA11" si="1">C3</f>
        <v>2017</v>
      </c>
      <c r="AD3" s="38"/>
      <c r="AG3" s="38"/>
      <c r="AJ3" s="38"/>
      <c r="AM3" s="147">
        <f t="shared" ref="AM3:AM11" si="2">C3</f>
        <v>2017</v>
      </c>
    </row>
    <row r="4" spans="1:52" ht="15" customHeight="1">
      <c r="A4" s="30" t="s">
        <v>197</v>
      </c>
      <c r="C4" s="147" t="str">
        <f>IF('Set-Up Worksheet'!F4="","Data Not Entered On Set-Up Worksheet",'Set-Up Worksheet'!F4)</f>
        <v>1st Quarter</v>
      </c>
      <c r="F4" s="32"/>
      <c r="I4" s="32"/>
      <c r="L4" s="32"/>
      <c r="O4" s="147" t="str">
        <f t="shared" si="0"/>
        <v>1st Quarter</v>
      </c>
      <c r="R4" s="32"/>
      <c r="U4" s="32"/>
      <c r="X4" s="32"/>
      <c r="AA4" s="147" t="str">
        <f t="shared" si="1"/>
        <v>1st Quarter</v>
      </c>
      <c r="AD4" s="32"/>
      <c r="AG4" s="32"/>
      <c r="AJ4" s="32"/>
      <c r="AM4" s="147" t="str">
        <f t="shared" si="2"/>
        <v>1st Quarter</v>
      </c>
    </row>
    <row r="5" spans="1:52" ht="15" customHeight="1">
      <c r="A5" s="30"/>
      <c r="C5" s="32"/>
      <c r="F5" s="32"/>
      <c r="I5" s="32"/>
      <c r="L5" s="32"/>
      <c r="O5" s="39"/>
      <c r="R5" s="32"/>
      <c r="U5" s="32"/>
      <c r="X5" s="32"/>
      <c r="AA5" s="39"/>
      <c r="AD5" s="32"/>
      <c r="AG5" s="32"/>
      <c r="AJ5" s="32"/>
      <c r="AM5" s="39"/>
    </row>
    <row r="6" spans="1:52" ht="15" customHeight="1">
      <c r="A6" s="30" t="s">
        <v>350</v>
      </c>
      <c r="C6" s="32"/>
      <c r="F6" s="32"/>
      <c r="G6" s="54"/>
      <c r="I6" s="32"/>
      <c r="L6" s="32"/>
      <c r="N6" s="30"/>
      <c r="O6" s="39"/>
      <c r="R6" s="32"/>
      <c r="U6" s="32"/>
      <c r="X6" s="32"/>
      <c r="Z6" s="30"/>
      <c r="AA6" s="39"/>
      <c r="AD6" s="32"/>
      <c r="AG6" s="32"/>
      <c r="AJ6" s="32"/>
      <c r="AL6" s="30"/>
      <c r="AM6" s="39"/>
    </row>
    <row r="7" spans="1:52" ht="15" customHeight="1">
      <c r="A7" s="30" t="s">
        <v>351</v>
      </c>
      <c r="C7" s="32"/>
      <c r="F7" s="32"/>
      <c r="I7" s="32"/>
      <c r="L7" s="32"/>
      <c r="N7" s="321" t="s">
        <v>352</v>
      </c>
      <c r="O7" s="39"/>
      <c r="R7" s="32"/>
      <c r="U7" s="32"/>
      <c r="X7" s="32"/>
      <c r="Z7" s="321" t="s">
        <v>352</v>
      </c>
      <c r="AA7" s="39"/>
      <c r="AD7" s="32"/>
      <c r="AG7" s="32"/>
      <c r="AJ7" s="32"/>
      <c r="AL7" s="321" t="s">
        <v>352</v>
      </c>
      <c r="AM7" s="39"/>
    </row>
    <row r="8" spans="1:52" ht="15" customHeight="1">
      <c r="A8" s="30"/>
      <c r="C8" s="32"/>
      <c r="F8" s="32"/>
      <c r="I8" s="32"/>
      <c r="L8" s="32"/>
      <c r="O8" s="39"/>
      <c r="R8" s="32"/>
      <c r="U8" s="32"/>
      <c r="X8" s="32"/>
      <c r="AA8" s="39"/>
      <c r="AD8" s="32"/>
      <c r="AG8" s="32"/>
      <c r="AJ8" s="32"/>
      <c r="AM8" s="39"/>
      <c r="AR8" s="54"/>
      <c r="AS8" s="54"/>
      <c r="AT8" s="55"/>
      <c r="AU8" s="54"/>
      <c r="AV8" s="54"/>
      <c r="AW8" s="54"/>
      <c r="AX8" s="54"/>
      <c r="AY8" s="30"/>
      <c r="AZ8" s="35"/>
    </row>
    <row r="9" spans="1:52" ht="15" customHeight="1">
      <c r="A9" s="30" t="s">
        <v>29</v>
      </c>
      <c r="C9" s="39" t="str">
        <f>IF('Set-Up Worksheet'!E7="","Data Not Entered On Set-Up Worksheet",'Set-Up Worksheet'!E7)</f>
        <v>Data Not Entered On Set-Up Worksheet</v>
      </c>
      <c r="I9" s="39"/>
      <c r="L9" s="39"/>
      <c r="O9" s="39" t="str">
        <f t="shared" si="0"/>
        <v>Data Not Entered On Set-Up Worksheet</v>
      </c>
      <c r="R9" s="39"/>
      <c r="U9" s="39"/>
      <c r="X9" s="39"/>
      <c r="AA9" s="39" t="str">
        <f t="shared" si="1"/>
        <v>Data Not Entered On Set-Up Worksheet</v>
      </c>
      <c r="AD9" s="39"/>
      <c r="AG9" s="39"/>
      <c r="AJ9" s="39"/>
      <c r="AM9" s="39" t="str">
        <f t="shared" si="2"/>
        <v>Data Not Entered On Set-Up Worksheet</v>
      </c>
    </row>
    <row r="10" spans="1:52" ht="15" customHeight="1">
      <c r="A10" s="30" t="s">
        <v>9</v>
      </c>
      <c r="C10" s="32" t="s">
        <v>10</v>
      </c>
      <c r="F10" s="79" t="s">
        <v>449</v>
      </c>
      <c r="I10" s="32"/>
      <c r="L10" s="32"/>
      <c r="O10" s="39" t="str">
        <f t="shared" si="0"/>
        <v>Behavioral Health</v>
      </c>
      <c r="R10" s="32"/>
      <c r="U10" s="32"/>
      <c r="X10" s="32"/>
      <c r="AA10" s="39" t="str">
        <f t="shared" si="1"/>
        <v>Behavioral Health</v>
      </c>
      <c r="AD10" s="32"/>
      <c r="AG10" s="32"/>
      <c r="AJ10" s="32"/>
      <c r="AM10" s="39" t="str">
        <f t="shared" si="2"/>
        <v>Behavioral Health</v>
      </c>
    </row>
    <row r="11" spans="1:52" ht="15" customHeight="1">
      <c r="A11" s="30" t="s">
        <v>199</v>
      </c>
      <c r="C11" s="40" t="str">
        <f>IF(C4="Data Not Entered On Set-Up Worksheet","Data Not Entered On Set-Up Worksheet",IF(C4="1st Quarter",'Report Schedule'!D34,IF(C4="2nd Quarter",'Report Schedule'!E34,IF(C4="3rd Quarter",'Report Schedule'!F34,IF(C4="4th Quarter",'Report Schedule'!G34,"")))))</f>
        <v>Apr - Jun 2016</v>
      </c>
      <c r="F11" s="79"/>
      <c r="I11" s="40"/>
      <c r="L11" s="40"/>
      <c r="O11" s="40" t="str">
        <f t="shared" si="0"/>
        <v>Apr - Jun 2016</v>
      </c>
      <c r="R11" s="40"/>
      <c r="U11" s="40"/>
      <c r="X11" s="40"/>
      <c r="AA11" s="40" t="str">
        <f t="shared" si="1"/>
        <v>Apr - Jun 2016</v>
      </c>
      <c r="AD11" s="40"/>
      <c r="AG11" s="40"/>
      <c r="AJ11" s="40"/>
      <c r="AM11" s="40" t="str">
        <f t="shared" si="2"/>
        <v>Apr - Jun 2016</v>
      </c>
    </row>
    <row r="12" spans="1:52" ht="15" customHeight="1" thickBot="1">
      <c r="A12" s="30"/>
      <c r="C12" s="40"/>
      <c r="F12" s="79"/>
      <c r="I12" s="40"/>
      <c r="L12" s="40"/>
      <c r="O12" s="40"/>
      <c r="R12" s="40"/>
      <c r="U12" s="40"/>
      <c r="X12" s="40"/>
      <c r="AA12" s="40"/>
      <c r="AD12" s="40"/>
      <c r="AG12" s="40"/>
      <c r="AJ12" s="40"/>
      <c r="AM12" s="40"/>
    </row>
    <row r="13" spans="1:52" ht="18" customHeight="1" thickBot="1">
      <c r="A13" s="226" t="s">
        <v>254</v>
      </c>
      <c r="B13" s="234" t="s">
        <v>251</v>
      </c>
      <c r="C13" s="235"/>
      <c r="D13" s="236"/>
      <c r="E13" s="63" t="s">
        <v>252</v>
      </c>
      <c r="F13" s="231"/>
      <c r="G13" s="231"/>
      <c r="H13" s="231"/>
      <c r="I13" s="231"/>
      <c r="J13" s="231"/>
      <c r="K13" s="231"/>
      <c r="L13" s="231"/>
      <c r="M13" s="232"/>
      <c r="N13" s="234" t="s">
        <v>256</v>
      </c>
      <c r="O13" s="235"/>
      <c r="P13" s="236"/>
      <c r="Q13" s="63" t="s">
        <v>257</v>
      </c>
      <c r="R13" s="231"/>
      <c r="S13" s="231"/>
      <c r="T13" s="231"/>
      <c r="U13" s="231"/>
      <c r="V13" s="231"/>
      <c r="W13" s="231"/>
      <c r="X13" s="231"/>
      <c r="Y13" s="232"/>
      <c r="Z13" s="234" t="s">
        <v>258</v>
      </c>
      <c r="AA13" s="235"/>
      <c r="AB13" s="236"/>
      <c r="AC13" s="63" t="s">
        <v>259</v>
      </c>
      <c r="AD13" s="231"/>
      <c r="AE13" s="231"/>
      <c r="AF13" s="231"/>
      <c r="AG13" s="231"/>
      <c r="AH13" s="231"/>
      <c r="AI13" s="231"/>
      <c r="AJ13" s="231"/>
      <c r="AK13" s="232"/>
      <c r="AL13" s="234" t="s">
        <v>263</v>
      </c>
      <c r="AM13" s="235"/>
      <c r="AN13" s="236"/>
    </row>
    <row r="14" spans="1:52" s="35" customFormat="1" ht="18" customHeight="1" thickBot="1">
      <c r="A14" s="233" t="s">
        <v>255</v>
      </c>
      <c r="B14" s="234" t="s">
        <v>249</v>
      </c>
      <c r="C14" s="237"/>
      <c r="D14" s="238"/>
      <c r="E14" s="63" t="s">
        <v>146</v>
      </c>
      <c r="F14" s="64"/>
      <c r="G14" s="65"/>
      <c r="H14" s="63" t="s">
        <v>250</v>
      </c>
      <c r="I14" s="64"/>
      <c r="J14" s="65"/>
      <c r="K14" s="63" t="s">
        <v>253</v>
      </c>
      <c r="L14" s="64"/>
      <c r="M14" s="65"/>
      <c r="N14" s="234" t="s">
        <v>249</v>
      </c>
      <c r="O14" s="237"/>
      <c r="P14" s="238"/>
      <c r="Q14" s="63" t="s">
        <v>146</v>
      </c>
      <c r="R14" s="64"/>
      <c r="S14" s="65"/>
      <c r="T14" s="63" t="s">
        <v>250</v>
      </c>
      <c r="U14" s="64"/>
      <c r="V14" s="65"/>
      <c r="W14" s="63" t="s">
        <v>253</v>
      </c>
      <c r="X14" s="64"/>
      <c r="Y14" s="65"/>
      <c r="Z14" s="234" t="s">
        <v>249</v>
      </c>
      <c r="AA14" s="237"/>
      <c r="AB14" s="238"/>
      <c r="AC14" s="63" t="s">
        <v>146</v>
      </c>
      <c r="AD14" s="64"/>
      <c r="AE14" s="65"/>
      <c r="AF14" s="63" t="s">
        <v>250</v>
      </c>
      <c r="AG14" s="64"/>
      <c r="AH14" s="65"/>
      <c r="AI14" s="63" t="s">
        <v>253</v>
      </c>
      <c r="AJ14" s="64"/>
      <c r="AK14" s="65"/>
      <c r="AL14" s="234" t="s">
        <v>262</v>
      </c>
      <c r="AM14" s="237"/>
      <c r="AN14" s="238"/>
    </row>
    <row r="15" spans="1:52" s="35" customFormat="1" ht="13.5" thickBot="1">
      <c r="A15" s="30"/>
      <c r="B15" s="56" t="s">
        <v>3</v>
      </c>
      <c r="C15" s="57" t="s">
        <v>4</v>
      </c>
      <c r="D15" s="58" t="s">
        <v>5</v>
      </c>
      <c r="E15" s="56" t="s">
        <v>3</v>
      </c>
      <c r="F15" s="57" t="s">
        <v>4</v>
      </c>
      <c r="G15" s="58" t="s">
        <v>5</v>
      </c>
      <c r="H15" s="56" t="s">
        <v>3</v>
      </c>
      <c r="I15" s="57" t="s">
        <v>4</v>
      </c>
      <c r="J15" s="58" t="s">
        <v>5</v>
      </c>
      <c r="K15" s="56" t="s">
        <v>3</v>
      </c>
      <c r="L15" s="57" t="s">
        <v>4</v>
      </c>
      <c r="M15" s="58" t="s">
        <v>5</v>
      </c>
      <c r="N15" s="56" t="s">
        <v>3</v>
      </c>
      <c r="O15" s="57" t="s">
        <v>4</v>
      </c>
      <c r="P15" s="58" t="s">
        <v>5</v>
      </c>
      <c r="Q15" s="56" t="s">
        <v>3</v>
      </c>
      <c r="R15" s="57" t="s">
        <v>4</v>
      </c>
      <c r="S15" s="58" t="s">
        <v>5</v>
      </c>
      <c r="T15" s="56" t="s">
        <v>3</v>
      </c>
      <c r="U15" s="57" t="s">
        <v>4</v>
      </c>
      <c r="V15" s="58" t="s">
        <v>5</v>
      </c>
      <c r="W15" s="56" t="s">
        <v>3</v>
      </c>
      <c r="X15" s="57" t="s">
        <v>4</v>
      </c>
      <c r="Y15" s="58" t="s">
        <v>5</v>
      </c>
      <c r="Z15" s="56" t="s">
        <v>3</v>
      </c>
      <c r="AA15" s="57" t="s">
        <v>4</v>
      </c>
      <c r="AB15" s="58" t="s">
        <v>5</v>
      </c>
      <c r="AC15" s="56" t="s">
        <v>3</v>
      </c>
      <c r="AD15" s="57" t="s">
        <v>4</v>
      </c>
      <c r="AE15" s="58" t="s">
        <v>5</v>
      </c>
      <c r="AF15" s="56" t="s">
        <v>3</v>
      </c>
      <c r="AG15" s="57" t="s">
        <v>4</v>
      </c>
      <c r="AH15" s="58" t="s">
        <v>5</v>
      </c>
      <c r="AI15" s="56" t="s">
        <v>3</v>
      </c>
      <c r="AJ15" s="57" t="s">
        <v>4</v>
      </c>
      <c r="AK15" s="58" t="s">
        <v>5</v>
      </c>
      <c r="AL15" s="56" t="s">
        <v>3</v>
      </c>
      <c r="AM15" s="57" t="s">
        <v>4</v>
      </c>
      <c r="AN15" s="58" t="s">
        <v>5</v>
      </c>
      <c r="AO15" s="33"/>
      <c r="AP15" s="30"/>
      <c r="AQ15" s="30"/>
      <c r="AR15" s="30"/>
      <c r="AS15" s="30"/>
      <c r="AT15" s="30"/>
    </row>
    <row r="16" spans="1:52" ht="39.950000000000003" customHeight="1">
      <c r="A16" s="75" t="s">
        <v>43</v>
      </c>
      <c r="B16" s="239" t="s">
        <v>508</v>
      </c>
      <c r="C16" s="240" t="s">
        <v>507</v>
      </c>
      <c r="D16" s="241" t="s">
        <v>509</v>
      </c>
      <c r="E16" s="66" t="s">
        <v>508</v>
      </c>
      <c r="F16" s="67" t="s">
        <v>507</v>
      </c>
      <c r="G16" s="68" t="s">
        <v>509</v>
      </c>
      <c r="H16" s="66" t="s">
        <v>508</v>
      </c>
      <c r="I16" s="67" t="s">
        <v>507</v>
      </c>
      <c r="J16" s="68" t="s">
        <v>509</v>
      </c>
      <c r="K16" s="66" t="s">
        <v>508</v>
      </c>
      <c r="L16" s="67" t="s">
        <v>507</v>
      </c>
      <c r="M16" s="68" t="s">
        <v>509</v>
      </c>
      <c r="N16" s="239" t="s">
        <v>508</v>
      </c>
      <c r="O16" s="240" t="s">
        <v>507</v>
      </c>
      <c r="P16" s="241" t="s">
        <v>509</v>
      </c>
      <c r="Q16" s="66" t="s">
        <v>508</v>
      </c>
      <c r="R16" s="67" t="s">
        <v>507</v>
      </c>
      <c r="S16" s="68" t="s">
        <v>509</v>
      </c>
      <c r="T16" s="66" t="s">
        <v>508</v>
      </c>
      <c r="U16" s="67" t="s">
        <v>507</v>
      </c>
      <c r="V16" s="68" t="s">
        <v>509</v>
      </c>
      <c r="W16" s="66" t="s">
        <v>508</v>
      </c>
      <c r="X16" s="67" t="s">
        <v>507</v>
      </c>
      <c r="Y16" s="68" t="s">
        <v>509</v>
      </c>
      <c r="Z16" s="239" t="s">
        <v>508</v>
      </c>
      <c r="AA16" s="240" t="s">
        <v>507</v>
      </c>
      <c r="AB16" s="241" t="s">
        <v>509</v>
      </c>
      <c r="AC16" s="66" t="s">
        <v>508</v>
      </c>
      <c r="AD16" s="67" t="s">
        <v>507</v>
      </c>
      <c r="AE16" s="68" t="s">
        <v>509</v>
      </c>
      <c r="AF16" s="66" t="s">
        <v>508</v>
      </c>
      <c r="AG16" s="67" t="s">
        <v>507</v>
      </c>
      <c r="AH16" s="68" t="s">
        <v>509</v>
      </c>
      <c r="AI16" s="66" t="s">
        <v>508</v>
      </c>
      <c r="AJ16" s="67" t="s">
        <v>507</v>
      </c>
      <c r="AK16" s="68" t="s">
        <v>509</v>
      </c>
      <c r="AL16" s="239" t="s">
        <v>508</v>
      </c>
      <c r="AM16" s="240" t="s">
        <v>507</v>
      </c>
      <c r="AN16" s="241" t="s">
        <v>509</v>
      </c>
    </row>
    <row r="17" spans="1:40" ht="18" customHeight="1">
      <c r="A17" s="76" t="str">
        <f>IF($C$9="Data Not Entered On Set-Up Worksheet","",IF(OR(VLOOKUP($C$9,County_Lookup_MC,2,FALSE)="",VLOOKUP($C$9,County_Lookup_MC,2,FALSE)=0),"",VLOOKUP($C$9,County_Lookup_MC,2,FALSE)))</f>
        <v/>
      </c>
      <c r="B17" s="69"/>
      <c r="C17" s="61"/>
      <c r="D17" s="70" t="str">
        <f>IF($A17="","",IF(C17=0,0,B17/C17))</f>
        <v/>
      </c>
      <c r="E17" s="69"/>
      <c r="F17" s="61"/>
      <c r="G17" s="70" t="str">
        <f>IF($A17="","",IF(F17=0,0,E17/F17))</f>
        <v/>
      </c>
      <c r="H17" s="69"/>
      <c r="I17" s="61"/>
      <c r="J17" s="70" t="str">
        <f>IF($A17="","",IF(I17=0,0,H17/I17))</f>
        <v/>
      </c>
      <c r="K17" s="74" t="str">
        <f>IF($A17="","",SUM(E17,H17))</f>
        <v/>
      </c>
      <c r="L17" s="62" t="str">
        <f>IF($A17="","",SUM(F17,I17))</f>
        <v/>
      </c>
      <c r="M17" s="70" t="str">
        <f>IF($A17="","",IF(L17=0,0,K17/L17))</f>
        <v/>
      </c>
      <c r="N17" s="69"/>
      <c r="O17" s="61"/>
      <c r="P17" s="70" t="str">
        <f>IF($A17="","",IF(O17=0,0,N17/O17))</f>
        <v/>
      </c>
      <c r="Q17" s="69"/>
      <c r="R17" s="61"/>
      <c r="S17" s="70" t="str">
        <f>IF($A17="","",IF(R17=0,0,Q17/R17))</f>
        <v/>
      </c>
      <c r="T17" s="69"/>
      <c r="U17" s="61"/>
      <c r="V17" s="70" t="str">
        <f>IF($A17="","",IF(U17=0,0,T17/U17))</f>
        <v/>
      </c>
      <c r="W17" s="74" t="str">
        <f>IF($A17="","",SUM(Q17,T17))</f>
        <v/>
      </c>
      <c r="X17" s="62" t="str">
        <f>IF($A17="","",SUM(R17,U17))</f>
        <v/>
      </c>
      <c r="Y17" s="70" t="str">
        <f>IF($A17="","",IF(X17=0,0,W17/X17))</f>
        <v/>
      </c>
      <c r="Z17" s="69"/>
      <c r="AA17" s="61"/>
      <c r="AB17" s="70" t="str">
        <f>IF($A17="","",IF(AA17=0,0,Z17/AA17))</f>
        <v/>
      </c>
      <c r="AC17" s="69"/>
      <c r="AD17" s="61"/>
      <c r="AE17" s="70" t="str">
        <f>IF($A17="","",IF(AD17=0,0,AC17/AD17))</f>
        <v/>
      </c>
      <c r="AF17" s="69"/>
      <c r="AG17" s="61"/>
      <c r="AH17" s="70" t="str">
        <f>IF($A17="","",IF(AG17=0,0,AF17/AG17))</f>
        <v/>
      </c>
      <c r="AI17" s="74" t="str">
        <f>IF($A17="","",SUM(AC17,AF17))</f>
        <v/>
      </c>
      <c r="AJ17" s="62" t="str">
        <f>IF($A17="","",SUM(AD17,AG17))</f>
        <v/>
      </c>
      <c r="AK17" s="70" t="str">
        <f>IF($A17="","",IF(AJ17=0,0,AI17/AJ17))</f>
        <v/>
      </c>
      <c r="AL17" s="74" t="str">
        <f>IF($A17="","",SUM(B17,E17,H17,N17,Q17,T17,Z17,AC17,AF17))</f>
        <v/>
      </c>
      <c r="AM17" s="62" t="str">
        <f>IF($A17="","",SUM(C17,F17,I17,O17,R17,U17,AA17,AD17,AG17))</f>
        <v/>
      </c>
      <c r="AN17" s="70" t="str">
        <f>IF($A17="","",IF(AM17=0,0,AL17/AM17))</f>
        <v/>
      </c>
    </row>
    <row r="18" spans="1:40" ht="18" customHeight="1">
      <c r="A18" s="77" t="str">
        <f>IF($C$9="Data Not Entered On Set-Up Worksheet","",IF(OR(VLOOKUP($C$9,County_Lookup_MC,3,FALSE)="",VLOOKUP($C$9,County_Lookup_MC,3,FALSE)=0),"",VLOOKUP($C$9,County_Lookup_MC,3,FALSE)))</f>
        <v/>
      </c>
      <c r="B18" s="69"/>
      <c r="C18" s="61"/>
      <c r="D18" s="70" t="str">
        <f t="shared" ref="D18:D40" si="3">IF($A18="","",IF(C18=0,0,B18/C18))</f>
        <v/>
      </c>
      <c r="E18" s="69"/>
      <c r="F18" s="61"/>
      <c r="G18" s="70" t="str">
        <f t="shared" ref="G18:G40" si="4">IF($A18="","",IF(F18=0,0,E18/F18))</f>
        <v/>
      </c>
      <c r="H18" s="69"/>
      <c r="I18" s="61"/>
      <c r="J18" s="70" t="str">
        <f t="shared" ref="J18:J40" si="5">IF($A18="","",IF(I18=0,0,H18/I18))</f>
        <v/>
      </c>
      <c r="K18" s="74" t="str">
        <f t="shared" ref="K18:L40" si="6">IF($A18="","",SUM(E18,H18))</f>
        <v/>
      </c>
      <c r="L18" s="62" t="str">
        <f t="shared" si="6"/>
        <v/>
      </c>
      <c r="M18" s="70" t="str">
        <f t="shared" ref="M18:M40" si="7">IF($A18="","",IF(L18=0,0,K18/L18))</f>
        <v/>
      </c>
      <c r="N18" s="69"/>
      <c r="O18" s="61"/>
      <c r="P18" s="70" t="str">
        <f t="shared" ref="P18:P40" si="8">IF($A18="","",IF(O18=0,0,N18/O18))</f>
        <v/>
      </c>
      <c r="Q18" s="69"/>
      <c r="R18" s="61"/>
      <c r="S18" s="70" t="str">
        <f t="shared" ref="S18:S40" si="9">IF($A18="","",IF(R18=0,0,Q18/R18))</f>
        <v/>
      </c>
      <c r="T18" s="69"/>
      <c r="U18" s="61"/>
      <c r="V18" s="70" t="str">
        <f t="shared" ref="V18:V40" si="10">IF($A18="","",IF(U18=0,0,T18/U18))</f>
        <v/>
      </c>
      <c r="W18" s="74" t="str">
        <f t="shared" ref="W18:X40" si="11">IF($A18="","",SUM(Q18,T18))</f>
        <v/>
      </c>
      <c r="X18" s="62" t="str">
        <f t="shared" si="11"/>
        <v/>
      </c>
      <c r="Y18" s="70" t="str">
        <f t="shared" ref="Y18:Y40" si="12">IF($A18="","",IF(X18=0,0,W18/X18))</f>
        <v/>
      </c>
      <c r="Z18" s="69"/>
      <c r="AA18" s="61"/>
      <c r="AB18" s="70" t="str">
        <f t="shared" ref="AB18:AB40" si="13">IF($A18="","",IF(AA18=0,0,Z18/AA18))</f>
        <v/>
      </c>
      <c r="AC18" s="69"/>
      <c r="AD18" s="61"/>
      <c r="AE18" s="70" t="str">
        <f t="shared" ref="AE18:AE40" si="14">IF($A18="","",IF(AD18=0,0,AC18/AD18))</f>
        <v/>
      </c>
      <c r="AF18" s="69"/>
      <c r="AG18" s="61"/>
      <c r="AH18" s="70" t="str">
        <f t="shared" ref="AH18:AH40" si="15">IF($A18="","",IF(AG18=0,0,AF18/AG18))</f>
        <v/>
      </c>
      <c r="AI18" s="74" t="str">
        <f t="shared" ref="AI18:AJ40" si="16">IF($A18="","",SUM(AC18,AF18))</f>
        <v/>
      </c>
      <c r="AJ18" s="62" t="str">
        <f t="shared" si="16"/>
        <v/>
      </c>
      <c r="AK18" s="70" t="str">
        <f t="shared" ref="AK18:AK40" si="17">IF($A18="","",IF(AJ18=0,0,AI18/AJ18))</f>
        <v/>
      </c>
      <c r="AL18" s="74" t="str">
        <f t="shared" ref="AL18:AM40" si="18">IF($A18="","",SUM(B18,E18,H18,N18,Q18,T18,Z18,AC18,AF18))</f>
        <v/>
      </c>
      <c r="AM18" s="62" t="str">
        <f t="shared" si="18"/>
        <v/>
      </c>
      <c r="AN18" s="70" t="str">
        <f t="shared" ref="AN18:AN40" si="19">IF($A18="","",IF(AM18=0,0,AL18/AM18))</f>
        <v/>
      </c>
    </row>
    <row r="19" spans="1:40" ht="18" customHeight="1">
      <c r="A19" s="77" t="str">
        <f>IF($C$9="Data Not Entered On Set-Up Worksheet","",IF(OR(VLOOKUP($C$9,County_Lookup_MC,4,FALSE)="",VLOOKUP($C$9,County_Lookup_MC,4,FALSE)=0),"",VLOOKUP($C$9,County_Lookup_MC,4,FALSE)))</f>
        <v/>
      </c>
      <c r="B19" s="69"/>
      <c r="C19" s="61"/>
      <c r="D19" s="70" t="str">
        <f t="shared" si="3"/>
        <v/>
      </c>
      <c r="E19" s="69"/>
      <c r="F19" s="61"/>
      <c r="G19" s="70" t="str">
        <f t="shared" si="4"/>
        <v/>
      </c>
      <c r="H19" s="69"/>
      <c r="I19" s="61"/>
      <c r="J19" s="70" t="str">
        <f t="shared" si="5"/>
        <v/>
      </c>
      <c r="K19" s="74" t="str">
        <f t="shared" si="6"/>
        <v/>
      </c>
      <c r="L19" s="62" t="str">
        <f t="shared" si="6"/>
        <v/>
      </c>
      <c r="M19" s="70" t="str">
        <f t="shared" si="7"/>
        <v/>
      </c>
      <c r="N19" s="69"/>
      <c r="O19" s="61"/>
      <c r="P19" s="70" t="str">
        <f t="shared" si="8"/>
        <v/>
      </c>
      <c r="Q19" s="69"/>
      <c r="R19" s="61"/>
      <c r="S19" s="70" t="str">
        <f t="shared" si="9"/>
        <v/>
      </c>
      <c r="T19" s="69"/>
      <c r="U19" s="61"/>
      <c r="V19" s="70" t="str">
        <f t="shared" si="10"/>
        <v/>
      </c>
      <c r="W19" s="74" t="str">
        <f t="shared" si="11"/>
        <v/>
      </c>
      <c r="X19" s="62" t="str">
        <f t="shared" si="11"/>
        <v/>
      </c>
      <c r="Y19" s="70" t="str">
        <f t="shared" si="12"/>
        <v/>
      </c>
      <c r="Z19" s="69"/>
      <c r="AA19" s="61"/>
      <c r="AB19" s="70" t="str">
        <f t="shared" si="13"/>
        <v/>
      </c>
      <c r="AC19" s="69"/>
      <c r="AD19" s="61"/>
      <c r="AE19" s="70" t="str">
        <f t="shared" si="14"/>
        <v/>
      </c>
      <c r="AF19" s="69"/>
      <c r="AG19" s="61"/>
      <c r="AH19" s="70" t="str">
        <f t="shared" si="15"/>
        <v/>
      </c>
      <c r="AI19" s="74" t="str">
        <f t="shared" si="16"/>
        <v/>
      </c>
      <c r="AJ19" s="62" t="str">
        <f t="shared" si="16"/>
        <v/>
      </c>
      <c r="AK19" s="70" t="str">
        <f t="shared" si="17"/>
        <v/>
      </c>
      <c r="AL19" s="74" t="str">
        <f t="shared" si="18"/>
        <v/>
      </c>
      <c r="AM19" s="62" t="str">
        <f t="shared" si="18"/>
        <v/>
      </c>
      <c r="AN19" s="70" t="str">
        <f t="shared" si="19"/>
        <v/>
      </c>
    </row>
    <row r="20" spans="1:40" ht="18" customHeight="1">
      <c r="A20" s="77" t="str">
        <f>IF($C$9="Data Not Entered On Set-Up Worksheet","",IF(OR(VLOOKUP($C$9,County_Lookup_MC,5,FALSE)="",VLOOKUP($C$9,County_Lookup_MC,5,FALSE)=0),"",VLOOKUP($C$9,County_Lookup_MC,5,FALSE)))</f>
        <v/>
      </c>
      <c r="B20" s="69"/>
      <c r="C20" s="61"/>
      <c r="D20" s="70" t="str">
        <f t="shared" si="3"/>
        <v/>
      </c>
      <c r="E20" s="69"/>
      <c r="F20" s="61"/>
      <c r="G20" s="70" t="str">
        <f t="shared" si="4"/>
        <v/>
      </c>
      <c r="H20" s="69"/>
      <c r="I20" s="61"/>
      <c r="J20" s="70" t="str">
        <f t="shared" si="5"/>
        <v/>
      </c>
      <c r="K20" s="74" t="str">
        <f t="shared" si="6"/>
        <v/>
      </c>
      <c r="L20" s="62" t="str">
        <f t="shared" si="6"/>
        <v/>
      </c>
      <c r="M20" s="70" t="str">
        <f t="shared" si="7"/>
        <v/>
      </c>
      <c r="N20" s="69"/>
      <c r="O20" s="61"/>
      <c r="P20" s="70" t="str">
        <f t="shared" si="8"/>
        <v/>
      </c>
      <c r="Q20" s="69"/>
      <c r="R20" s="61"/>
      <c r="S20" s="70" t="str">
        <f t="shared" si="9"/>
        <v/>
      </c>
      <c r="T20" s="69"/>
      <c r="U20" s="61"/>
      <c r="V20" s="70" t="str">
        <f t="shared" si="10"/>
        <v/>
      </c>
      <c r="W20" s="74" t="str">
        <f t="shared" si="11"/>
        <v/>
      </c>
      <c r="X20" s="62" t="str">
        <f t="shared" si="11"/>
        <v/>
      </c>
      <c r="Y20" s="70" t="str">
        <f t="shared" si="12"/>
        <v/>
      </c>
      <c r="Z20" s="69"/>
      <c r="AA20" s="61"/>
      <c r="AB20" s="70" t="str">
        <f t="shared" si="13"/>
        <v/>
      </c>
      <c r="AC20" s="69"/>
      <c r="AD20" s="61"/>
      <c r="AE20" s="70" t="str">
        <f t="shared" si="14"/>
        <v/>
      </c>
      <c r="AF20" s="69"/>
      <c r="AG20" s="61"/>
      <c r="AH20" s="70" t="str">
        <f t="shared" si="15"/>
        <v/>
      </c>
      <c r="AI20" s="74" t="str">
        <f t="shared" si="16"/>
        <v/>
      </c>
      <c r="AJ20" s="62" t="str">
        <f t="shared" si="16"/>
        <v/>
      </c>
      <c r="AK20" s="70" t="str">
        <f t="shared" si="17"/>
        <v/>
      </c>
      <c r="AL20" s="74" t="str">
        <f t="shared" si="18"/>
        <v/>
      </c>
      <c r="AM20" s="62" t="str">
        <f t="shared" si="18"/>
        <v/>
      </c>
      <c r="AN20" s="70" t="str">
        <f t="shared" si="19"/>
        <v/>
      </c>
    </row>
    <row r="21" spans="1:40" ht="18" customHeight="1">
      <c r="A21" s="77" t="str">
        <f>IF($C$9="Data Not Entered On Set-Up Worksheet","",IF(OR(VLOOKUP($C$9,County_Lookup_MC,6,FALSE)="",VLOOKUP($C$9,County_Lookup_MC,6,FALSE)=0),"",VLOOKUP($C$9,County_Lookup_MC,6,FALSE)))</f>
        <v/>
      </c>
      <c r="B21" s="69"/>
      <c r="C21" s="61"/>
      <c r="D21" s="70" t="str">
        <f t="shared" si="3"/>
        <v/>
      </c>
      <c r="E21" s="69"/>
      <c r="F21" s="61"/>
      <c r="G21" s="70" t="str">
        <f t="shared" si="4"/>
        <v/>
      </c>
      <c r="H21" s="69"/>
      <c r="I21" s="61"/>
      <c r="J21" s="70" t="str">
        <f t="shared" si="5"/>
        <v/>
      </c>
      <c r="K21" s="74" t="str">
        <f t="shared" si="6"/>
        <v/>
      </c>
      <c r="L21" s="62" t="str">
        <f t="shared" si="6"/>
        <v/>
      </c>
      <c r="M21" s="70" t="str">
        <f t="shared" si="7"/>
        <v/>
      </c>
      <c r="N21" s="69"/>
      <c r="O21" s="61"/>
      <c r="P21" s="70" t="str">
        <f t="shared" si="8"/>
        <v/>
      </c>
      <c r="Q21" s="69"/>
      <c r="R21" s="61"/>
      <c r="S21" s="70" t="str">
        <f t="shared" si="9"/>
        <v/>
      </c>
      <c r="T21" s="69"/>
      <c r="U21" s="61"/>
      <c r="V21" s="70" t="str">
        <f t="shared" si="10"/>
        <v/>
      </c>
      <c r="W21" s="74" t="str">
        <f t="shared" si="11"/>
        <v/>
      </c>
      <c r="X21" s="62" t="str">
        <f t="shared" si="11"/>
        <v/>
      </c>
      <c r="Y21" s="70" t="str">
        <f t="shared" si="12"/>
        <v/>
      </c>
      <c r="Z21" s="69"/>
      <c r="AA21" s="61"/>
      <c r="AB21" s="70" t="str">
        <f t="shared" si="13"/>
        <v/>
      </c>
      <c r="AC21" s="69"/>
      <c r="AD21" s="61"/>
      <c r="AE21" s="70" t="str">
        <f t="shared" si="14"/>
        <v/>
      </c>
      <c r="AF21" s="69"/>
      <c r="AG21" s="61"/>
      <c r="AH21" s="70" t="str">
        <f t="shared" si="15"/>
        <v/>
      </c>
      <c r="AI21" s="74" t="str">
        <f t="shared" si="16"/>
        <v/>
      </c>
      <c r="AJ21" s="62" t="str">
        <f t="shared" si="16"/>
        <v/>
      </c>
      <c r="AK21" s="70" t="str">
        <f t="shared" si="17"/>
        <v/>
      </c>
      <c r="AL21" s="74" t="str">
        <f t="shared" si="18"/>
        <v/>
      </c>
      <c r="AM21" s="62" t="str">
        <f t="shared" si="18"/>
        <v/>
      </c>
      <c r="AN21" s="70" t="str">
        <f t="shared" si="19"/>
        <v/>
      </c>
    </row>
    <row r="22" spans="1:40" ht="18" customHeight="1">
      <c r="A22" s="77" t="str">
        <f>IF($C$9="Data Not Entered On Set-Up Worksheet","",IF(OR(VLOOKUP($C$9,County_Lookup_MC,7,FALSE)="",VLOOKUP($C$9,County_Lookup_MC,7,FALSE)=0),"",VLOOKUP($C$9,County_Lookup_MC,7,FALSE)))</f>
        <v/>
      </c>
      <c r="B22" s="69"/>
      <c r="C22" s="61"/>
      <c r="D22" s="70" t="str">
        <f t="shared" si="3"/>
        <v/>
      </c>
      <c r="E22" s="69"/>
      <c r="F22" s="61"/>
      <c r="G22" s="70" t="str">
        <f t="shared" si="4"/>
        <v/>
      </c>
      <c r="H22" s="69"/>
      <c r="I22" s="61"/>
      <c r="J22" s="70" t="str">
        <f t="shared" si="5"/>
        <v/>
      </c>
      <c r="K22" s="74" t="str">
        <f t="shared" si="6"/>
        <v/>
      </c>
      <c r="L22" s="62" t="str">
        <f t="shared" si="6"/>
        <v/>
      </c>
      <c r="M22" s="70" t="str">
        <f t="shared" si="7"/>
        <v/>
      </c>
      <c r="N22" s="69"/>
      <c r="O22" s="61"/>
      <c r="P22" s="70" t="str">
        <f t="shared" si="8"/>
        <v/>
      </c>
      <c r="Q22" s="69"/>
      <c r="R22" s="61"/>
      <c r="S22" s="70" t="str">
        <f t="shared" si="9"/>
        <v/>
      </c>
      <c r="T22" s="69"/>
      <c r="U22" s="61"/>
      <c r="V22" s="70" t="str">
        <f t="shared" si="10"/>
        <v/>
      </c>
      <c r="W22" s="74" t="str">
        <f t="shared" si="11"/>
        <v/>
      </c>
      <c r="X22" s="62" t="str">
        <f t="shared" si="11"/>
        <v/>
      </c>
      <c r="Y22" s="70" t="str">
        <f t="shared" si="12"/>
        <v/>
      </c>
      <c r="Z22" s="69"/>
      <c r="AA22" s="61"/>
      <c r="AB22" s="70" t="str">
        <f t="shared" si="13"/>
        <v/>
      </c>
      <c r="AC22" s="69"/>
      <c r="AD22" s="61"/>
      <c r="AE22" s="70" t="str">
        <f t="shared" si="14"/>
        <v/>
      </c>
      <c r="AF22" s="69"/>
      <c r="AG22" s="61"/>
      <c r="AH22" s="70" t="str">
        <f t="shared" si="15"/>
        <v/>
      </c>
      <c r="AI22" s="74" t="str">
        <f t="shared" si="16"/>
        <v/>
      </c>
      <c r="AJ22" s="62" t="str">
        <f t="shared" si="16"/>
        <v/>
      </c>
      <c r="AK22" s="70" t="str">
        <f t="shared" si="17"/>
        <v/>
      </c>
      <c r="AL22" s="74" t="str">
        <f t="shared" si="18"/>
        <v/>
      </c>
      <c r="AM22" s="62" t="str">
        <f t="shared" si="18"/>
        <v/>
      </c>
      <c r="AN22" s="70" t="str">
        <f t="shared" si="19"/>
        <v/>
      </c>
    </row>
    <row r="23" spans="1:40" ht="18" customHeight="1">
      <c r="A23" s="76" t="str">
        <f>IF($C$9="Data Not Entered On Set-Up Worksheet","",IF(OR(VLOOKUP($C$9,County_Lookup_MC,8,FALSE)="",VLOOKUP($C$9,County_Lookup_MC,8,FALSE)=0),"",VLOOKUP($C$9,County_Lookup_MC,8,FALSE)))</f>
        <v/>
      </c>
      <c r="B23" s="69"/>
      <c r="C23" s="61"/>
      <c r="D23" s="70" t="str">
        <f t="shared" si="3"/>
        <v/>
      </c>
      <c r="E23" s="69"/>
      <c r="F23" s="61"/>
      <c r="G23" s="70" t="str">
        <f t="shared" si="4"/>
        <v/>
      </c>
      <c r="H23" s="69"/>
      <c r="I23" s="61"/>
      <c r="J23" s="70" t="str">
        <f t="shared" si="5"/>
        <v/>
      </c>
      <c r="K23" s="74" t="str">
        <f t="shared" si="6"/>
        <v/>
      </c>
      <c r="L23" s="62" t="str">
        <f t="shared" si="6"/>
        <v/>
      </c>
      <c r="M23" s="70" t="str">
        <f t="shared" si="7"/>
        <v/>
      </c>
      <c r="N23" s="69"/>
      <c r="O23" s="61"/>
      <c r="P23" s="70" t="str">
        <f t="shared" si="8"/>
        <v/>
      </c>
      <c r="Q23" s="69"/>
      <c r="R23" s="61"/>
      <c r="S23" s="70" t="str">
        <f t="shared" si="9"/>
        <v/>
      </c>
      <c r="T23" s="69"/>
      <c r="U23" s="61"/>
      <c r="V23" s="70" t="str">
        <f t="shared" si="10"/>
        <v/>
      </c>
      <c r="W23" s="74" t="str">
        <f t="shared" si="11"/>
        <v/>
      </c>
      <c r="X23" s="62" t="str">
        <f t="shared" si="11"/>
        <v/>
      </c>
      <c r="Y23" s="70" t="str">
        <f t="shared" si="12"/>
        <v/>
      </c>
      <c r="Z23" s="69"/>
      <c r="AA23" s="61"/>
      <c r="AB23" s="70" t="str">
        <f t="shared" si="13"/>
        <v/>
      </c>
      <c r="AC23" s="69"/>
      <c r="AD23" s="61"/>
      <c r="AE23" s="70" t="str">
        <f t="shared" si="14"/>
        <v/>
      </c>
      <c r="AF23" s="69"/>
      <c r="AG23" s="61"/>
      <c r="AH23" s="70" t="str">
        <f t="shared" si="15"/>
        <v/>
      </c>
      <c r="AI23" s="74" t="str">
        <f t="shared" si="16"/>
        <v/>
      </c>
      <c r="AJ23" s="62" t="str">
        <f t="shared" si="16"/>
        <v/>
      </c>
      <c r="AK23" s="70" t="str">
        <f t="shared" si="17"/>
        <v/>
      </c>
      <c r="AL23" s="74" t="str">
        <f t="shared" si="18"/>
        <v/>
      </c>
      <c r="AM23" s="62" t="str">
        <f t="shared" si="18"/>
        <v/>
      </c>
      <c r="AN23" s="70" t="str">
        <f t="shared" si="19"/>
        <v/>
      </c>
    </row>
    <row r="24" spans="1:40" ht="18" customHeight="1">
      <c r="A24" s="77" t="str">
        <f>IF($C$9="Data Not Entered On Set-Up Worksheet","",IF(OR(VLOOKUP($C$9,County_Lookup_MC,9,FALSE)="",VLOOKUP($C$9,County_Lookup_MC,9,FALSE)=0),"",VLOOKUP($C$9,County_Lookup_MC,9,FALSE)))</f>
        <v/>
      </c>
      <c r="B24" s="69"/>
      <c r="C24" s="61"/>
      <c r="D24" s="70" t="str">
        <f t="shared" si="3"/>
        <v/>
      </c>
      <c r="E24" s="69"/>
      <c r="F24" s="61"/>
      <c r="G24" s="70" t="str">
        <f t="shared" si="4"/>
        <v/>
      </c>
      <c r="H24" s="69"/>
      <c r="I24" s="61"/>
      <c r="J24" s="70" t="str">
        <f t="shared" si="5"/>
        <v/>
      </c>
      <c r="K24" s="74" t="str">
        <f t="shared" si="6"/>
        <v/>
      </c>
      <c r="L24" s="62" t="str">
        <f t="shared" si="6"/>
        <v/>
      </c>
      <c r="M24" s="70" t="str">
        <f t="shared" si="7"/>
        <v/>
      </c>
      <c r="N24" s="69"/>
      <c r="O24" s="61"/>
      <c r="P24" s="70" t="str">
        <f t="shared" si="8"/>
        <v/>
      </c>
      <c r="Q24" s="69"/>
      <c r="R24" s="61"/>
      <c r="S24" s="70" t="str">
        <f t="shared" si="9"/>
        <v/>
      </c>
      <c r="T24" s="69"/>
      <c r="U24" s="61"/>
      <c r="V24" s="70" t="str">
        <f t="shared" si="10"/>
        <v/>
      </c>
      <c r="W24" s="74" t="str">
        <f t="shared" si="11"/>
        <v/>
      </c>
      <c r="X24" s="62" t="str">
        <f t="shared" si="11"/>
        <v/>
      </c>
      <c r="Y24" s="70" t="str">
        <f t="shared" si="12"/>
        <v/>
      </c>
      <c r="Z24" s="69"/>
      <c r="AA24" s="61"/>
      <c r="AB24" s="70" t="str">
        <f t="shared" si="13"/>
        <v/>
      </c>
      <c r="AC24" s="69"/>
      <c r="AD24" s="61"/>
      <c r="AE24" s="70" t="str">
        <f t="shared" si="14"/>
        <v/>
      </c>
      <c r="AF24" s="69"/>
      <c r="AG24" s="61"/>
      <c r="AH24" s="70" t="str">
        <f t="shared" si="15"/>
        <v/>
      </c>
      <c r="AI24" s="74" t="str">
        <f t="shared" si="16"/>
        <v/>
      </c>
      <c r="AJ24" s="62" t="str">
        <f t="shared" si="16"/>
        <v/>
      </c>
      <c r="AK24" s="70" t="str">
        <f t="shared" si="17"/>
        <v/>
      </c>
      <c r="AL24" s="74" t="str">
        <f t="shared" si="18"/>
        <v/>
      </c>
      <c r="AM24" s="62" t="str">
        <f t="shared" si="18"/>
        <v/>
      </c>
      <c r="AN24" s="70" t="str">
        <f t="shared" si="19"/>
        <v/>
      </c>
    </row>
    <row r="25" spans="1:40" ht="18" customHeight="1">
      <c r="A25" s="77" t="str">
        <f>IF($C$9="Data Not Entered On Set-Up Worksheet","",IF(OR(VLOOKUP($C$9,County_Lookup_MC,10,FALSE)="",VLOOKUP($C$9,County_Lookup_MC,10,FALSE)=0),"",VLOOKUP($C$9,County_Lookup_MC,10,FALSE)))</f>
        <v/>
      </c>
      <c r="B25" s="69"/>
      <c r="C25" s="61"/>
      <c r="D25" s="70" t="str">
        <f t="shared" si="3"/>
        <v/>
      </c>
      <c r="E25" s="69"/>
      <c r="F25" s="61"/>
      <c r="G25" s="70" t="str">
        <f t="shared" si="4"/>
        <v/>
      </c>
      <c r="H25" s="69"/>
      <c r="I25" s="61"/>
      <c r="J25" s="70" t="str">
        <f t="shared" si="5"/>
        <v/>
      </c>
      <c r="K25" s="74" t="str">
        <f t="shared" si="6"/>
        <v/>
      </c>
      <c r="L25" s="62" t="str">
        <f t="shared" si="6"/>
        <v/>
      </c>
      <c r="M25" s="70" t="str">
        <f t="shared" si="7"/>
        <v/>
      </c>
      <c r="N25" s="69"/>
      <c r="O25" s="61"/>
      <c r="P25" s="70" t="str">
        <f t="shared" si="8"/>
        <v/>
      </c>
      <c r="Q25" s="69"/>
      <c r="R25" s="61"/>
      <c r="S25" s="70" t="str">
        <f t="shared" si="9"/>
        <v/>
      </c>
      <c r="T25" s="69"/>
      <c r="U25" s="61"/>
      <c r="V25" s="70" t="str">
        <f t="shared" si="10"/>
        <v/>
      </c>
      <c r="W25" s="74" t="str">
        <f t="shared" si="11"/>
        <v/>
      </c>
      <c r="X25" s="62" t="str">
        <f t="shared" si="11"/>
        <v/>
      </c>
      <c r="Y25" s="70" t="str">
        <f t="shared" si="12"/>
        <v/>
      </c>
      <c r="Z25" s="69"/>
      <c r="AA25" s="61"/>
      <c r="AB25" s="70" t="str">
        <f t="shared" si="13"/>
        <v/>
      </c>
      <c r="AC25" s="69"/>
      <c r="AD25" s="61"/>
      <c r="AE25" s="70" t="str">
        <f t="shared" si="14"/>
        <v/>
      </c>
      <c r="AF25" s="69"/>
      <c r="AG25" s="61"/>
      <c r="AH25" s="70" t="str">
        <f t="shared" si="15"/>
        <v/>
      </c>
      <c r="AI25" s="74" t="str">
        <f t="shared" si="16"/>
        <v/>
      </c>
      <c r="AJ25" s="62" t="str">
        <f t="shared" si="16"/>
        <v/>
      </c>
      <c r="AK25" s="70" t="str">
        <f t="shared" si="17"/>
        <v/>
      </c>
      <c r="AL25" s="74" t="str">
        <f t="shared" si="18"/>
        <v/>
      </c>
      <c r="AM25" s="62" t="str">
        <f t="shared" si="18"/>
        <v/>
      </c>
      <c r="AN25" s="70" t="str">
        <f t="shared" si="19"/>
        <v/>
      </c>
    </row>
    <row r="26" spans="1:40" ht="18" customHeight="1">
      <c r="A26" s="77" t="str">
        <f>IF($C$9="Data Not Entered On Set-Up Worksheet","",IF(OR(VLOOKUP($C$9,County_Lookup_MC,11,FALSE)="",VLOOKUP($C$9,County_Lookup_MC,11,FALSE)=0),"",VLOOKUP($C$9,County_Lookup_MC,11,FALSE)))</f>
        <v/>
      </c>
      <c r="B26" s="69"/>
      <c r="C26" s="61"/>
      <c r="D26" s="70" t="str">
        <f t="shared" si="3"/>
        <v/>
      </c>
      <c r="E26" s="69"/>
      <c r="F26" s="61"/>
      <c r="G26" s="70" t="str">
        <f t="shared" si="4"/>
        <v/>
      </c>
      <c r="H26" s="69"/>
      <c r="I26" s="61"/>
      <c r="J26" s="70" t="str">
        <f t="shared" si="5"/>
        <v/>
      </c>
      <c r="K26" s="74" t="str">
        <f t="shared" si="6"/>
        <v/>
      </c>
      <c r="L26" s="62" t="str">
        <f t="shared" si="6"/>
        <v/>
      </c>
      <c r="M26" s="70" t="str">
        <f t="shared" si="7"/>
        <v/>
      </c>
      <c r="N26" s="69"/>
      <c r="O26" s="61"/>
      <c r="P26" s="70" t="str">
        <f t="shared" si="8"/>
        <v/>
      </c>
      <c r="Q26" s="69"/>
      <c r="R26" s="61"/>
      <c r="S26" s="70" t="str">
        <f t="shared" si="9"/>
        <v/>
      </c>
      <c r="T26" s="69"/>
      <c r="U26" s="61"/>
      <c r="V26" s="70" t="str">
        <f t="shared" si="10"/>
        <v/>
      </c>
      <c r="W26" s="74" t="str">
        <f t="shared" si="11"/>
        <v/>
      </c>
      <c r="X26" s="62" t="str">
        <f t="shared" si="11"/>
        <v/>
      </c>
      <c r="Y26" s="70" t="str">
        <f t="shared" si="12"/>
        <v/>
      </c>
      <c r="Z26" s="69"/>
      <c r="AA26" s="61"/>
      <c r="AB26" s="70" t="str">
        <f t="shared" si="13"/>
        <v/>
      </c>
      <c r="AC26" s="69"/>
      <c r="AD26" s="61"/>
      <c r="AE26" s="70" t="str">
        <f t="shared" si="14"/>
        <v/>
      </c>
      <c r="AF26" s="69"/>
      <c r="AG26" s="61"/>
      <c r="AH26" s="70" t="str">
        <f t="shared" si="15"/>
        <v/>
      </c>
      <c r="AI26" s="74" t="str">
        <f t="shared" si="16"/>
        <v/>
      </c>
      <c r="AJ26" s="62" t="str">
        <f t="shared" si="16"/>
        <v/>
      </c>
      <c r="AK26" s="70" t="str">
        <f t="shared" si="17"/>
        <v/>
      </c>
      <c r="AL26" s="74" t="str">
        <f t="shared" si="18"/>
        <v/>
      </c>
      <c r="AM26" s="62" t="str">
        <f t="shared" si="18"/>
        <v/>
      </c>
      <c r="AN26" s="70" t="str">
        <f t="shared" si="19"/>
        <v/>
      </c>
    </row>
    <row r="27" spans="1:40" ht="18" customHeight="1">
      <c r="A27" s="77" t="str">
        <f>IF($C$9="Data Not Entered On Set-Up Worksheet","",IF(OR(VLOOKUP($C$9,County_Lookup_MC,12,FALSE)="",VLOOKUP($C$9,County_Lookup_MC,12,FALSE)=0),"",VLOOKUP($C$9,County_Lookup_MC,12,FALSE)))</f>
        <v/>
      </c>
      <c r="B27" s="69"/>
      <c r="C27" s="61"/>
      <c r="D27" s="70" t="str">
        <f t="shared" si="3"/>
        <v/>
      </c>
      <c r="E27" s="69"/>
      <c r="F27" s="61"/>
      <c r="G27" s="70" t="str">
        <f t="shared" si="4"/>
        <v/>
      </c>
      <c r="H27" s="69"/>
      <c r="I27" s="61"/>
      <c r="J27" s="70" t="str">
        <f t="shared" si="5"/>
        <v/>
      </c>
      <c r="K27" s="74" t="str">
        <f t="shared" si="6"/>
        <v/>
      </c>
      <c r="L27" s="62" t="str">
        <f t="shared" si="6"/>
        <v/>
      </c>
      <c r="M27" s="70" t="str">
        <f t="shared" si="7"/>
        <v/>
      </c>
      <c r="N27" s="69"/>
      <c r="O27" s="61"/>
      <c r="P27" s="70" t="str">
        <f t="shared" si="8"/>
        <v/>
      </c>
      <c r="Q27" s="69"/>
      <c r="R27" s="61"/>
      <c r="S27" s="70" t="str">
        <f t="shared" si="9"/>
        <v/>
      </c>
      <c r="T27" s="69"/>
      <c r="U27" s="61"/>
      <c r="V27" s="70" t="str">
        <f t="shared" si="10"/>
        <v/>
      </c>
      <c r="W27" s="74" t="str">
        <f t="shared" si="11"/>
        <v/>
      </c>
      <c r="X27" s="62" t="str">
        <f t="shared" si="11"/>
        <v/>
      </c>
      <c r="Y27" s="70" t="str">
        <f t="shared" si="12"/>
        <v/>
      </c>
      <c r="Z27" s="69"/>
      <c r="AA27" s="61"/>
      <c r="AB27" s="70" t="str">
        <f t="shared" si="13"/>
        <v/>
      </c>
      <c r="AC27" s="69"/>
      <c r="AD27" s="61"/>
      <c r="AE27" s="70" t="str">
        <f t="shared" si="14"/>
        <v/>
      </c>
      <c r="AF27" s="69"/>
      <c r="AG27" s="61"/>
      <c r="AH27" s="70" t="str">
        <f t="shared" si="15"/>
        <v/>
      </c>
      <c r="AI27" s="74" t="str">
        <f t="shared" si="16"/>
        <v/>
      </c>
      <c r="AJ27" s="62" t="str">
        <f t="shared" si="16"/>
        <v/>
      </c>
      <c r="AK27" s="70" t="str">
        <f t="shared" si="17"/>
        <v/>
      </c>
      <c r="AL27" s="74" t="str">
        <f t="shared" si="18"/>
        <v/>
      </c>
      <c r="AM27" s="62" t="str">
        <f t="shared" si="18"/>
        <v/>
      </c>
      <c r="AN27" s="70" t="str">
        <f t="shared" si="19"/>
        <v/>
      </c>
    </row>
    <row r="28" spans="1:40" ht="18" customHeight="1">
      <c r="A28" s="77" t="str">
        <f>IF($C$9="Data Not Entered On Set-Up Worksheet","",IF(OR(VLOOKUP($C$9,County_Lookup_MC,13,FALSE)="",VLOOKUP($C$9,County_Lookup_MC,13,FALSE)=0),"",VLOOKUP($C$9,County_Lookup_MC,13,FALSE)))</f>
        <v/>
      </c>
      <c r="B28" s="69"/>
      <c r="C28" s="61"/>
      <c r="D28" s="70" t="str">
        <f t="shared" si="3"/>
        <v/>
      </c>
      <c r="E28" s="69"/>
      <c r="F28" s="61"/>
      <c r="G28" s="70" t="str">
        <f t="shared" si="4"/>
        <v/>
      </c>
      <c r="H28" s="69"/>
      <c r="I28" s="61"/>
      <c r="J28" s="70" t="str">
        <f t="shared" si="5"/>
        <v/>
      </c>
      <c r="K28" s="74" t="str">
        <f t="shared" si="6"/>
        <v/>
      </c>
      <c r="L28" s="62" t="str">
        <f t="shared" si="6"/>
        <v/>
      </c>
      <c r="M28" s="70" t="str">
        <f t="shared" si="7"/>
        <v/>
      </c>
      <c r="N28" s="69"/>
      <c r="O28" s="61"/>
      <c r="P28" s="70" t="str">
        <f t="shared" si="8"/>
        <v/>
      </c>
      <c r="Q28" s="69"/>
      <c r="R28" s="61"/>
      <c r="S28" s="70" t="str">
        <f t="shared" si="9"/>
        <v/>
      </c>
      <c r="T28" s="69"/>
      <c r="U28" s="61"/>
      <c r="V28" s="70" t="str">
        <f t="shared" si="10"/>
        <v/>
      </c>
      <c r="W28" s="74" t="str">
        <f t="shared" si="11"/>
        <v/>
      </c>
      <c r="X28" s="62" t="str">
        <f t="shared" si="11"/>
        <v/>
      </c>
      <c r="Y28" s="70" t="str">
        <f t="shared" si="12"/>
        <v/>
      </c>
      <c r="Z28" s="69"/>
      <c r="AA28" s="61"/>
      <c r="AB28" s="70" t="str">
        <f t="shared" si="13"/>
        <v/>
      </c>
      <c r="AC28" s="69"/>
      <c r="AD28" s="61"/>
      <c r="AE28" s="70" t="str">
        <f t="shared" si="14"/>
        <v/>
      </c>
      <c r="AF28" s="69"/>
      <c r="AG28" s="61"/>
      <c r="AH28" s="70" t="str">
        <f t="shared" si="15"/>
        <v/>
      </c>
      <c r="AI28" s="74" t="str">
        <f t="shared" si="16"/>
        <v/>
      </c>
      <c r="AJ28" s="62" t="str">
        <f t="shared" si="16"/>
        <v/>
      </c>
      <c r="AK28" s="70" t="str">
        <f t="shared" si="17"/>
        <v/>
      </c>
      <c r="AL28" s="74" t="str">
        <f t="shared" si="18"/>
        <v/>
      </c>
      <c r="AM28" s="62" t="str">
        <f t="shared" si="18"/>
        <v/>
      </c>
      <c r="AN28" s="70" t="str">
        <f t="shared" si="19"/>
        <v/>
      </c>
    </row>
    <row r="29" spans="1:40" ht="18" customHeight="1">
      <c r="A29" s="77" t="str">
        <f>IF($C$9="Data Not Entered On Set-Up Worksheet","",IF(OR(VLOOKUP($C$9,County_Lookup_MC,14,FALSE)="",VLOOKUP($C$9,County_Lookup_MC,14,FALSE)=0),"",VLOOKUP($C$9,County_Lookup_MC,14,FALSE)))</f>
        <v/>
      </c>
      <c r="B29" s="69"/>
      <c r="C29" s="61"/>
      <c r="D29" s="70" t="str">
        <f t="shared" si="3"/>
        <v/>
      </c>
      <c r="E29" s="69"/>
      <c r="F29" s="61"/>
      <c r="G29" s="70" t="str">
        <f t="shared" si="4"/>
        <v/>
      </c>
      <c r="H29" s="69"/>
      <c r="I29" s="61"/>
      <c r="J29" s="70" t="str">
        <f t="shared" si="5"/>
        <v/>
      </c>
      <c r="K29" s="74" t="str">
        <f t="shared" si="6"/>
        <v/>
      </c>
      <c r="L29" s="62" t="str">
        <f t="shared" si="6"/>
        <v/>
      </c>
      <c r="M29" s="70" t="str">
        <f t="shared" si="7"/>
        <v/>
      </c>
      <c r="N29" s="69"/>
      <c r="O29" s="61"/>
      <c r="P29" s="70" t="str">
        <f t="shared" si="8"/>
        <v/>
      </c>
      <c r="Q29" s="69"/>
      <c r="R29" s="61"/>
      <c r="S29" s="70" t="str">
        <f t="shared" si="9"/>
        <v/>
      </c>
      <c r="T29" s="69"/>
      <c r="U29" s="61"/>
      <c r="V29" s="70" t="str">
        <f t="shared" si="10"/>
        <v/>
      </c>
      <c r="W29" s="74" t="str">
        <f t="shared" si="11"/>
        <v/>
      </c>
      <c r="X29" s="62" t="str">
        <f t="shared" si="11"/>
        <v/>
      </c>
      <c r="Y29" s="70" t="str">
        <f t="shared" si="12"/>
        <v/>
      </c>
      <c r="Z29" s="69"/>
      <c r="AA29" s="61"/>
      <c r="AB29" s="70" t="str">
        <f t="shared" si="13"/>
        <v/>
      </c>
      <c r="AC29" s="69"/>
      <c r="AD29" s="61"/>
      <c r="AE29" s="70" t="str">
        <f t="shared" si="14"/>
        <v/>
      </c>
      <c r="AF29" s="69"/>
      <c r="AG29" s="61"/>
      <c r="AH29" s="70" t="str">
        <f t="shared" si="15"/>
        <v/>
      </c>
      <c r="AI29" s="74" t="str">
        <f t="shared" si="16"/>
        <v/>
      </c>
      <c r="AJ29" s="62" t="str">
        <f t="shared" si="16"/>
        <v/>
      </c>
      <c r="AK29" s="70" t="str">
        <f t="shared" si="17"/>
        <v/>
      </c>
      <c r="AL29" s="74" t="str">
        <f t="shared" si="18"/>
        <v/>
      </c>
      <c r="AM29" s="62" t="str">
        <f t="shared" si="18"/>
        <v/>
      </c>
      <c r="AN29" s="70" t="str">
        <f t="shared" si="19"/>
        <v/>
      </c>
    </row>
    <row r="30" spans="1:40" ht="18" customHeight="1">
      <c r="A30" s="76" t="str">
        <f>IF($C$9="Data Not Entered On Set-Up Worksheet","",IF(OR(VLOOKUP($C$9,County_Lookup_MC,15,FALSE)="",VLOOKUP($C$9,County_Lookup_MC,15,FALSE)=0),"",VLOOKUP($C$9,County_Lookup_MC,15,FALSE)))</f>
        <v/>
      </c>
      <c r="B30" s="69"/>
      <c r="C30" s="61"/>
      <c r="D30" s="70" t="str">
        <f t="shared" si="3"/>
        <v/>
      </c>
      <c r="E30" s="69"/>
      <c r="F30" s="61"/>
      <c r="G30" s="70" t="str">
        <f t="shared" si="4"/>
        <v/>
      </c>
      <c r="H30" s="69"/>
      <c r="I30" s="61"/>
      <c r="J30" s="70" t="str">
        <f t="shared" si="5"/>
        <v/>
      </c>
      <c r="K30" s="74" t="str">
        <f t="shared" si="6"/>
        <v/>
      </c>
      <c r="L30" s="62" t="str">
        <f t="shared" si="6"/>
        <v/>
      </c>
      <c r="M30" s="70" t="str">
        <f t="shared" si="7"/>
        <v/>
      </c>
      <c r="N30" s="69"/>
      <c r="O30" s="61"/>
      <c r="P30" s="70" t="str">
        <f t="shared" si="8"/>
        <v/>
      </c>
      <c r="Q30" s="69"/>
      <c r="R30" s="61"/>
      <c r="S30" s="70" t="str">
        <f t="shared" si="9"/>
        <v/>
      </c>
      <c r="T30" s="69"/>
      <c r="U30" s="61"/>
      <c r="V30" s="70" t="str">
        <f t="shared" si="10"/>
        <v/>
      </c>
      <c r="W30" s="74" t="str">
        <f t="shared" si="11"/>
        <v/>
      </c>
      <c r="X30" s="62" t="str">
        <f t="shared" si="11"/>
        <v/>
      </c>
      <c r="Y30" s="70" t="str">
        <f t="shared" si="12"/>
        <v/>
      </c>
      <c r="Z30" s="69"/>
      <c r="AA30" s="61"/>
      <c r="AB30" s="70" t="str">
        <f t="shared" si="13"/>
        <v/>
      </c>
      <c r="AC30" s="69"/>
      <c r="AD30" s="61"/>
      <c r="AE30" s="70" t="str">
        <f t="shared" si="14"/>
        <v/>
      </c>
      <c r="AF30" s="69"/>
      <c r="AG30" s="61"/>
      <c r="AH30" s="70" t="str">
        <f t="shared" si="15"/>
        <v/>
      </c>
      <c r="AI30" s="74" t="str">
        <f t="shared" si="16"/>
        <v/>
      </c>
      <c r="AJ30" s="62" t="str">
        <f t="shared" si="16"/>
        <v/>
      </c>
      <c r="AK30" s="70" t="str">
        <f t="shared" si="17"/>
        <v/>
      </c>
      <c r="AL30" s="74" t="str">
        <f t="shared" si="18"/>
        <v/>
      </c>
      <c r="AM30" s="62" t="str">
        <f t="shared" si="18"/>
        <v/>
      </c>
      <c r="AN30" s="70" t="str">
        <f t="shared" si="19"/>
        <v/>
      </c>
    </row>
    <row r="31" spans="1:40" ht="18" customHeight="1">
      <c r="A31" s="77" t="str">
        <f>IF($C$9="Data Not Entered On Set-Up Worksheet","",IF(OR(VLOOKUP($C$9,County_Lookup_MC,16,FALSE)="",VLOOKUP($C$9,County_Lookup_MC,16,FALSE)=0),"",VLOOKUP($C$9,County_Lookup_MC,16,FALSE)))</f>
        <v/>
      </c>
      <c r="B31" s="69"/>
      <c r="C31" s="61"/>
      <c r="D31" s="70" t="str">
        <f t="shared" si="3"/>
        <v/>
      </c>
      <c r="E31" s="69"/>
      <c r="F31" s="61"/>
      <c r="G31" s="70" t="str">
        <f t="shared" si="4"/>
        <v/>
      </c>
      <c r="H31" s="69"/>
      <c r="I31" s="61"/>
      <c r="J31" s="70" t="str">
        <f t="shared" si="5"/>
        <v/>
      </c>
      <c r="K31" s="74" t="str">
        <f t="shared" si="6"/>
        <v/>
      </c>
      <c r="L31" s="62" t="str">
        <f t="shared" si="6"/>
        <v/>
      </c>
      <c r="M31" s="70" t="str">
        <f t="shared" si="7"/>
        <v/>
      </c>
      <c r="N31" s="69"/>
      <c r="O31" s="61"/>
      <c r="P31" s="70" t="str">
        <f t="shared" si="8"/>
        <v/>
      </c>
      <c r="Q31" s="69"/>
      <c r="R31" s="61"/>
      <c r="S31" s="70" t="str">
        <f t="shared" si="9"/>
        <v/>
      </c>
      <c r="T31" s="69"/>
      <c r="U31" s="61"/>
      <c r="V31" s="70" t="str">
        <f t="shared" si="10"/>
        <v/>
      </c>
      <c r="W31" s="74" t="str">
        <f t="shared" si="11"/>
        <v/>
      </c>
      <c r="X31" s="62" t="str">
        <f t="shared" si="11"/>
        <v/>
      </c>
      <c r="Y31" s="70" t="str">
        <f t="shared" si="12"/>
        <v/>
      </c>
      <c r="Z31" s="69"/>
      <c r="AA31" s="61"/>
      <c r="AB31" s="70" t="str">
        <f t="shared" si="13"/>
        <v/>
      </c>
      <c r="AC31" s="69"/>
      <c r="AD31" s="61"/>
      <c r="AE31" s="70" t="str">
        <f t="shared" si="14"/>
        <v/>
      </c>
      <c r="AF31" s="69"/>
      <c r="AG31" s="61"/>
      <c r="AH31" s="70" t="str">
        <f t="shared" si="15"/>
        <v/>
      </c>
      <c r="AI31" s="74" t="str">
        <f t="shared" si="16"/>
        <v/>
      </c>
      <c r="AJ31" s="62" t="str">
        <f t="shared" si="16"/>
        <v/>
      </c>
      <c r="AK31" s="70" t="str">
        <f t="shared" si="17"/>
        <v/>
      </c>
      <c r="AL31" s="74" t="str">
        <f t="shared" si="18"/>
        <v/>
      </c>
      <c r="AM31" s="62" t="str">
        <f t="shared" si="18"/>
        <v/>
      </c>
      <c r="AN31" s="70" t="str">
        <f t="shared" si="19"/>
        <v/>
      </c>
    </row>
    <row r="32" spans="1:40" ht="18" customHeight="1">
      <c r="A32" s="77" t="str">
        <f>IF($C$9="Data Not Entered On Set-Up Worksheet","",IF(OR(VLOOKUP($C$9,County_Lookup_MC,17,FALSE)="",VLOOKUP($C$9,County_Lookup_MC,17,FALSE)=0),"",VLOOKUP($C$9,County_Lookup_MC,17,FALSE)))</f>
        <v/>
      </c>
      <c r="B32" s="69"/>
      <c r="C32" s="61"/>
      <c r="D32" s="70" t="str">
        <f t="shared" si="3"/>
        <v/>
      </c>
      <c r="E32" s="69"/>
      <c r="F32" s="61"/>
      <c r="G32" s="70" t="str">
        <f t="shared" si="4"/>
        <v/>
      </c>
      <c r="H32" s="69"/>
      <c r="I32" s="61"/>
      <c r="J32" s="70" t="str">
        <f t="shared" si="5"/>
        <v/>
      </c>
      <c r="K32" s="74" t="str">
        <f t="shared" si="6"/>
        <v/>
      </c>
      <c r="L32" s="62" t="str">
        <f t="shared" si="6"/>
        <v/>
      </c>
      <c r="M32" s="70" t="str">
        <f t="shared" si="7"/>
        <v/>
      </c>
      <c r="N32" s="69"/>
      <c r="O32" s="61"/>
      <c r="P32" s="70" t="str">
        <f t="shared" si="8"/>
        <v/>
      </c>
      <c r="Q32" s="69"/>
      <c r="R32" s="61"/>
      <c r="S32" s="70" t="str">
        <f t="shared" si="9"/>
        <v/>
      </c>
      <c r="T32" s="69"/>
      <c r="U32" s="61"/>
      <c r="V32" s="70" t="str">
        <f t="shared" si="10"/>
        <v/>
      </c>
      <c r="W32" s="74" t="str">
        <f t="shared" si="11"/>
        <v/>
      </c>
      <c r="X32" s="62" t="str">
        <f t="shared" si="11"/>
        <v/>
      </c>
      <c r="Y32" s="70" t="str">
        <f t="shared" si="12"/>
        <v/>
      </c>
      <c r="Z32" s="69"/>
      <c r="AA32" s="61"/>
      <c r="AB32" s="70" t="str">
        <f t="shared" si="13"/>
        <v/>
      </c>
      <c r="AC32" s="69"/>
      <c r="AD32" s="61"/>
      <c r="AE32" s="70" t="str">
        <f t="shared" si="14"/>
        <v/>
      </c>
      <c r="AF32" s="69"/>
      <c r="AG32" s="61"/>
      <c r="AH32" s="70" t="str">
        <f t="shared" si="15"/>
        <v/>
      </c>
      <c r="AI32" s="74" t="str">
        <f t="shared" si="16"/>
        <v/>
      </c>
      <c r="AJ32" s="62" t="str">
        <f t="shared" si="16"/>
        <v/>
      </c>
      <c r="AK32" s="70" t="str">
        <f t="shared" si="17"/>
        <v/>
      </c>
      <c r="AL32" s="74" t="str">
        <f t="shared" si="18"/>
        <v/>
      </c>
      <c r="AM32" s="62" t="str">
        <f t="shared" si="18"/>
        <v/>
      </c>
      <c r="AN32" s="70" t="str">
        <f t="shared" si="19"/>
        <v/>
      </c>
    </row>
    <row r="33" spans="1:40" ht="18" customHeight="1">
      <c r="A33" s="77" t="str">
        <f>IF($C$9="Data Not Entered On Set-Up Worksheet","",IF(OR(VLOOKUP($C$9,County_Lookup_MC,18,FALSE)="",VLOOKUP($C$9,County_Lookup_MC,18,FALSE)=0),"",VLOOKUP($C$9,County_Lookup_MC,18,FALSE)))</f>
        <v/>
      </c>
      <c r="B33" s="69"/>
      <c r="C33" s="61"/>
      <c r="D33" s="70" t="str">
        <f t="shared" si="3"/>
        <v/>
      </c>
      <c r="E33" s="69"/>
      <c r="F33" s="61"/>
      <c r="G33" s="70" t="str">
        <f t="shared" si="4"/>
        <v/>
      </c>
      <c r="H33" s="69"/>
      <c r="I33" s="61"/>
      <c r="J33" s="70" t="str">
        <f t="shared" si="5"/>
        <v/>
      </c>
      <c r="K33" s="74" t="str">
        <f t="shared" si="6"/>
        <v/>
      </c>
      <c r="L33" s="62" t="str">
        <f t="shared" si="6"/>
        <v/>
      </c>
      <c r="M33" s="70" t="str">
        <f t="shared" si="7"/>
        <v/>
      </c>
      <c r="N33" s="69"/>
      <c r="O33" s="61"/>
      <c r="P33" s="70" t="str">
        <f t="shared" si="8"/>
        <v/>
      </c>
      <c r="Q33" s="69"/>
      <c r="R33" s="61"/>
      <c r="S33" s="70" t="str">
        <f t="shared" si="9"/>
        <v/>
      </c>
      <c r="T33" s="69"/>
      <c r="U33" s="61"/>
      <c r="V33" s="70" t="str">
        <f t="shared" si="10"/>
        <v/>
      </c>
      <c r="W33" s="74" t="str">
        <f t="shared" si="11"/>
        <v/>
      </c>
      <c r="X33" s="62" t="str">
        <f t="shared" si="11"/>
        <v/>
      </c>
      <c r="Y33" s="70" t="str">
        <f t="shared" si="12"/>
        <v/>
      </c>
      <c r="Z33" s="69"/>
      <c r="AA33" s="61"/>
      <c r="AB33" s="70" t="str">
        <f t="shared" si="13"/>
        <v/>
      </c>
      <c r="AC33" s="69"/>
      <c r="AD33" s="61"/>
      <c r="AE33" s="70" t="str">
        <f t="shared" si="14"/>
        <v/>
      </c>
      <c r="AF33" s="69"/>
      <c r="AG33" s="61"/>
      <c r="AH33" s="70" t="str">
        <f t="shared" si="15"/>
        <v/>
      </c>
      <c r="AI33" s="74" t="str">
        <f t="shared" si="16"/>
        <v/>
      </c>
      <c r="AJ33" s="62" t="str">
        <f t="shared" si="16"/>
        <v/>
      </c>
      <c r="AK33" s="70" t="str">
        <f t="shared" si="17"/>
        <v/>
      </c>
      <c r="AL33" s="74" t="str">
        <f t="shared" si="18"/>
        <v/>
      </c>
      <c r="AM33" s="62" t="str">
        <f t="shared" si="18"/>
        <v/>
      </c>
      <c r="AN33" s="70" t="str">
        <f t="shared" si="19"/>
        <v/>
      </c>
    </row>
    <row r="34" spans="1:40" ht="18" customHeight="1">
      <c r="A34" s="77" t="str">
        <f>IF($C$9="Data Not Entered On Set-Up Worksheet","",IF(OR(VLOOKUP($C$9,County_Lookup_MC,19,FALSE)="",VLOOKUP($C$9,County_Lookup_MC,19,FALSE)=0),"",VLOOKUP($C$9,County_Lookup_MC,19,FALSE)))</f>
        <v/>
      </c>
      <c r="B34" s="69"/>
      <c r="C34" s="61"/>
      <c r="D34" s="70" t="str">
        <f t="shared" si="3"/>
        <v/>
      </c>
      <c r="E34" s="69"/>
      <c r="F34" s="61"/>
      <c r="G34" s="70" t="str">
        <f t="shared" si="4"/>
        <v/>
      </c>
      <c r="H34" s="69"/>
      <c r="I34" s="61"/>
      <c r="J34" s="70" t="str">
        <f t="shared" si="5"/>
        <v/>
      </c>
      <c r="K34" s="74" t="str">
        <f t="shared" si="6"/>
        <v/>
      </c>
      <c r="L34" s="62" t="str">
        <f t="shared" si="6"/>
        <v/>
      </c>
      <c r="M34" s="70" t="str">
        <f t="shared" si="7"/>
        <v/>
      </c>
      <c r="N34" s="69"/>
      <c r="O34" s="61"/>
      <c r="P34" s="70" t="str">
        <f t="shared" si="8"/>
        <v/>
      </c>
      <c r="Q34" s="69"/>
      <c r="R34" s="61"/>
      <c r="S34" s="70" t="str">
        <f t="shared" si="9"/>
        <v/>
      </c>
      <c r="T34" s="69"/>
      <c r="U34" s="61"/>
      <c r="V34" s="70" t="str">
        <f t="shared" si="10"/>
        <v/>
      </c>
      <c r="W34" s="74" t="str">
        <f t="shared" si="11"/>
        <v/>
      </c>
      <c r="X34" s="62" t="str">
        <f t="shared" si="11"/>
        <v/>
      </c>
      <c r="Y34" s="70" t="str">
        <f t="shared" si="12"/>
        <v/>
      </c>
      <c r="Z34" s="69"/>
      <c r="AA34" s="61"/>
      <c r="AB34" s="70" t="str">
        <f t="shared" si="13"/>
        <v/>
      </c>
      <c r="AC34" s="69"/>
      <c r="AD34" s="61"/>
      <c r="AE34" s="70" t="str">
        <f t="shared" si="14"/>
        <v/>
      </c>
      <c r="AF34" s="69"/>
      <c r="AG34" s="61"/>
      <c r="AH34" s="70" t="str">
        <f t="shared" si="15"/>
        <v/>
      </c>
      <c r="AI34" s="74" t="str">
        <f t="shared" si="16"/>
        <v/>
      </c>
      <c r="AJ34" s="62" t="str">
        <f t="shared" si="16"/>
        <v/>
      </c>
      <c r="AK34" s="70" t="str">
        <f t="shared" si="17"/>
        <v/>
      </c>
      <c r="AL34" s="74" t="str">
        <f t="shared" si="18"/>
        <v/>
      </c>
      <c r="AM34" s="62" t="str">
        <f t="shared" si="18"/>
        <v/>
      </c>
      <c r="AN34" s="70" t="str">
        <f t="shared" si="19"/>
        <v/>
      </c>
    </row>
    <row r="35" spans="1:40" ht="18" customHeight="1">
      <c r="A35" s="77" t="str">
        <f>IF($C$9="Data Not Entered On Set-Up Worksheet","",IF(OR(VLOOKUP($C$9,County_Lookup_MC,20,FALSE)="",VLOOKUP($C$9,County_Lookup_MC,20,FALSE)=0),"",VLOOKUP($C$9,County_Lookup_MC,20,FALSE)))</f>
        <v/>
      </c>
      <c r="B35" s="69"/>
      <c r="C35" s="61"/>
      <c r="D35" s="70" t="str">
        <f t="shared" si="3"/>
        <v/>
      </c>
      <c r="E35" s="69"/>
      <c r="F35" s="61"/>
      <c r="G35" s="70" t="str">
        <f t="shared" si="4"/>
        <v/>
      </c>
      <c r="H35" s="69"/>
      <c r="I35" s="61"/>
      <c r="J35" s="70" t="str">
        <f t="shared" si="5"/>
        <v/>
      </c>
      <c r="K35" s="74" t="str">
        <f t="shared" si="6"/>
        <v/>
      </c>
      <c r="L35" s="62" t="str">
        <f t="shared" si="6"/>
        <v/>
      </c>
      <c r="M35" s="70" t="str">
        <f t="shared" si="7"/>
        <v/>
      </c>
      <c r="N35" s="69"/>
      <c r="O35" s="61"/>
      <c r="P35" s="70" t="str">
        <f t="shared" si="8"/>
        <v/>
      </c>
      <c r="Q35" s="69"/>
      <c r="R35" s="61"/>
      <c r="S35" s="70" t="str">
        <f t="shared" si="9"/>
        <v/>
      </c>
      <c r="T35" s="69"/>
      <c r="U35" s="61"/>
      <c r="V35" s="70" t="str">
        <f t="shared" si="10"/>
        <v/>
      </c>
      <c r="W35" s="74" t="str">
        <f t="shared" si="11"/>
        <v/>
      </c>
      <c r="X35" s="62" t="str">
        <f t="shared" si="11"/>
        <v/>
      </c>
      <c r="Y35" s="70" t="str">
        <f t="shared" si="12"/>
        <v/>
      </c>
      <c r="Z35" s="69"/>
      <c r="AA35" s="61"/>
      <c r="AB35" s="70" t="str">
        <f t="shared" si="13"/>
        <v/>
      </c>
      <c r="AC35" s="69"/>
      <c r="AD35" s="61"/>
      <c r="AE35" s="70" t="str">
        <f t="shared" si="14"/>
        <v/>
      </c>
      <c r="AF35" s="69"/>
      <c r="AG35" s="61"/>
      <c r="AH35" s="70" t="str">
        <f t="shared" si="15"/>
        <v/>
      </c>
      <c r="AI35" s="74" t="str">
        <f t="shared" si="16"/>
        <v/>
      </c>
      <c r="AJ35" s="62" t="str">
        <f t="shared" si="16"/>
        <v/>
      </c>
      <c r="AK35" s="70" t="str">
        <f t="shared" si="17"/>
        <v/>
      </c>
      <c r="AL35" s="74" t="str">
        <f t="shared" si="18"/>
        <v/>
      </c>
      <c r="AM35" s="62" t="str">
        <f t="shared" si="18"/>
        <v/>
      </c>
      <c r="AN35" s="70" t="str">
        <f t="shared" si="19"/>
        <v/>
      </c>
    </row>
    <row r="36" spans="1:40" ht="18" customHeight="1">
      <c r="A36" s="77" t="str">
        <f>IF($C$9="Data Not Entered On Set-Up Worksheet","",IF(OR(VLOOKUP($C$9,County_Lookup_MC,21,FALSE)="",VLOOKUP($C$9,County_Lookup_MC,21,FALSE)=0),"",VLOOKUP($C$9,County_Lookup_MC,21,FALSE)))</f>
        <v/>
      </c>
      <c r="B36" s="69"/>
      <c r="C36" s="61"/>
      <c r="D36" s="70" t="str">
        <f t="shared" si="3"/>
        <v/>
      </c>
      <c r="E36" s="69"/>
      <c r="F36" s="61"/>
      <c r="G36" s="70" t="str">
        <f t="shared" si="4"/>
        <v/>
      </c>
      <c r="H36" s="69"/>
      <c r="I36" s="61"/>
      <c r="J36" s="70" t="str">
        <f t="shared" si="5"/>
        <v/>
      </c>
      <c r="K36" s="74" t="str">
        <f t="shared" si="6"/>
        <v/>
      </c>
      <c r="L36" s="62" t="str">
        <f t="shared" si="6"/>
        <v/>
      </c>
      <c r="M36" s="70" t="str">
        <f t="shared" si="7"/>
        <v/>
      </c>
      <c r="N36" s="69"/>
      <c r="O36" s="61"/>
      <c r="P36" s="70" t="str">
        <f t="shared" si="8"/>
        <v/>
      </c>
      <c r="Q36" s="69"/>
      <c r="R36" s="61"/>
      <c r="S36" s="70" t="str">
        <f t="shared" si="9"/>
        <v/>
      </c>
      <c r="T36" s="69"/>
      <c r="U36" s="61"/>
      <c r="V36" s="70" t="str">
        <f t="shared" si="10"/>
        <v/>
      </c>
      <c r="W36" s="74" t="str">
        <f t="shared" si="11"/>
        <v/>
      </c>
      <c r="X36" s="62" t="str">
        <f t="shared" si="11"/>
        <v/>
      </c>
      <c r="Y36" s="70" t="str">
        <f t="shared" si="12"/>
        <v/>
      </c>
      <c r="Z36" s="69"/>
      <c r="AA36" s="61"/>
      <c r="AB36" s="70" t="str">
        <f t="shared" si="13"/>
        <v/>
      </c>
      <c r="AC36" s="69"/>
      <c r="AD36" s="61"/>
      <c r="AE36" s="70" t="str">
        <f t="shared" si="14"/>
        <v/>
      </c>
      <c r="AF36" s="69"/>
      <c r="AG36" s="61"/>
      <c r="AH36" s="70" t="str">
        <f t="shared" si="15"/>
        <v/>
      </c>
      <c r="AI36" s="74" t="str">
        <f t="shared" si="16"/>
        <v/>
      </c>
      <c r="AJ36" s="62" t="str">
        <f t="shared" si="16"/>
        <v/>
      </c>
      <c r="AK36" s="70" t="str">
        <f t="shared" si="17"/>
        <v/>
      </c>
      <c r="AL36" s="74" t="str">
        <f t="shared" si="18"/>
        <v/>
      </c>
      <c r="AM36" s="62" t="str">
        <f t="shared" si="18"/>
        <v/>
      </c>
      <c r="AN36" s="70" t="str">
        <f t="shared" si="19"/>
        <v/>
      </c>
    </row>
    <row r="37" spans="1:40" ht="18" customHeight="1">
      <c r="A37" s="76" t="str">
        <f>IF($C$9="Data Not Entered On Set-Up Worksheet","",IF(OR(VLOOKUP($C$9,County_Lookup_MC,22,FALSE)="",VLOOKUP($C$9,County_Lookup_MC,22,FALSE)=0),"",VLOOKUP($C$9,County_Lookup_MC,22,FALSE)))</f>
        <v/>
      </c>
      <c r="B37" s="69"/>
      <c r="C37" s="61"/>
      <c r="D37" s="70" t="str">
        <f t="shared" si="3"/>
        <v/>
      </c>
      <c r="E37" s="69"/>
      <c r="F37" s="61"/>
      <c r="G37" s="70" t="str">
        <f t="shared" si="4"/>
        <v/>
      </c>
      <c r="H37" s="69"/>
      <c r="I37" s="61"/>
      <c r="J37" s="70" t="str">
        <f t="shared" si="5"/>
        <v/>
      </c>
      <c r="K37" s="74" t="str">
        <f t="shared" si="6"/>
        <v/>
      </c>
      <c r="L37" s="62" t="str">
        <f t="shared" si="6"/>
        <v/>
      </c>
      <c r="M37" s="70" t="str">
        <f t="shared" si="7"/>
        <v/>
      </c>
      <c r="N37" s="69"/>
      <c r="O37" s="61"/>
      <c r="P37" s="70" t="str">
        <f t="shared" si="8"/>
        <v/>
      </c>
      <c r="Q37" s="69"/>
      <c r="R37" s="61"/>
      <c r="S37" s="70" t="str">
        <f t="shared" si="9"/>
        <v/>
      </c>
      <c r="T37" s="69"/>
      <c r="U37" s="61"/>
      <c r="V37" s="70" t="str">
        <f t="shared" si="10"/>
        <v/>
      </c>
      <c r="W37" s="74" t="str">
        <f t="shared" si="11"/>
        <v/>
      </c>
      <c r="X37" s="62" t="str">
        <f t="shared" si="11"/>
        <v/>
      </c>
      <c r="Y37" s="70" t="str">
        <f t="shared" si="12"/>
        <v/>
      </c>
      <c r="Z37" s="69"/>
      <c r="AA37" s="61"/>
      <c r="AB37" s="70" t="str">
        <f t="shared" si="13"/>
        <v/>
      </c>
      <c r="AC37" s="69"/>
      <c r="AD37" s="61"/>
      <c r="AE37" s="70" t="str">
        <f t="shared" si="14"/>
        <v/>
      </c>
      <c r="AF37" s="69"/>
      <c r="AG37" s="61"/>
      <c r="AH37" s="70" t="str">
        <f t="shared" si="15"/>
        <v/>
      </c>
      <c r="AI37" s="74" t="str">
        <f t="shared" si="16"/>
        <v/>
      </c>
      <c r="AJ37" s="62" t="str">
        <f t="shared" si="16"/>
        <v/>
      </c>
      <c r="AK37" s="70" t="str">
        <f t="shared" si="17"/>
        <v/>
      </c>
      <c r="AL37" s="74" t="str">
        <f t="shared" si="18"/>
        <v/>
      </c>
      <c r="AM37" s="62" t="str">
        <f t="shared" si="18"/>
        <v/>
      </c>
      <c r="AN37" s="70" t="str">
        <f t="shared" si="19"/>
        <v/>
      </c>
    </row>
    <row r="38" spans="1:40" ht="18" customHeight="1">
      <c r="A38" s="77" t="str">
        <f>IF($C$9="Data Not Entered On Set-Up Worksheet","",IF(OR(VLOOKUP($C$9,County_Lookup_MC,23,FALSE)="",VLOOKUP($C$9,County_Lookup_MC,23,FALSE)=0),"",VLOOKUP($C$9,County_Lookup_MC,23,FALSE)))</f>
        <v/>
      </c>
      <c r="B38" s="69"/>
      <c r="C38" s="61"/>
      <c r="D38" s="70" t="str">
        <f t="shared" si="3"/>
        <v/>
      </c>
      <c r="E38" s="69"/>
      <c r="F38" s="61"/>
      <c r="G38" s="70" t="str">
        <f t="shared" si="4"/>
        <v/>
      </c>
      <c r="H38" s="69"/>
      <c r="I38" s="61"/>
      <c r="J38" s="70" t="str">
        <f t="shared" si="5"/>
        <v/>
      </c>
      <c r="K38" s="74" t="str">
        <f t="shared" si="6"/>
        <v/>
      </c>
      <c r="L38" s="62" t="str">
        <f t="shared" si="6"/>
        <v/>
      </c>
      <c r="M38" s="70" t="str">
        <f t="shared" si="7"/>
        <v/>
      </c>
      <c r="N38" s="69"/>
      <c r="O38" s="61"/>
      <c r="P38" s="70" t="str">
        <f t="shared" si="8"/>
        <v/>
      </c>
      <c r="Q38" s="69"/>
      <c r="R38" s="61"/>
      <c r="S38" s="70" t="str">
        <f t="shared" si="9"/>
        <v/>
      </c>
      <c r="T38" s="69"/>
      <c r="U38" s="61"/>
      <c r="V38" s="70" t="str">
        <f t="shared" si="10"/>
        <v/>
      </c>
      <c r="W38" s="74" t="str">
        <f t="shared" si="11"/>
        <v/>
      </c>
      <c r="X38" s="62" t="str">
        <f t="shared" si="11"/>
        <v/>
      </c>
      <c r="Y38" s="70" t="str">
        <f t="shared" si="12"/>
        <v/>
      </c>
      <c r="Z38" s="69"/>
      <c r="AA38" s="61"/>
      <c r="AB38" s="70" t="str">
        <f t="shared" si="13"/>
        <v/>
      </c>
      <c r="AC38" s="69"/>
      <c r="AD38" s="61"/>
      <c r="AE38" s="70" t="str">
        <f t="shared" si="14"/>
        <v/>
      </c>
      <c r="AF38" s="69"/>
      <c r="AG38" s="61"/>
      <c r="AH38" s="70" t="str">
        <f t="shared" si="15"/>
        <v/>
      </c>
      <c r="AI38" s="74" t="str">
        <f t="shared" si="16"/>
        <v/>
      </c>
      <c r="AJ38" s="62" t="str">
        <f t="shared" si="16"/>
        <v/>
      </c>
      <c r="AK38" s="70" t="str">
        <f t="shared" si="17"/>
        <v/>
      </c>
      <c r="AL38" s="74" t="str">
        <f t="shared" si="18"/>
        <v/>
      </c>
      <c r="AM38" s="62" t="str">
        <f t="shared" si="18"/>
        <v/>
      </c>
      <c r="AN38" s="70" t="str">
        <f t="shared" si="19"/>
        <v/>
      </c>
    </row>
    <row r="39" spans="1:40" ht="18" customHeight="1">
      <c r="A39" s="77" t="str">
        <f>IF($C$9="Data Not Entered On Set-Up Worksheet","",IF(OR(VLOOKUP($C$9,County_Lookup_MC,24,FALSE)="",VLOOKUP($C$9,County_Lookup_MC,24,FALSE)=0),"",VLOOKUP($C$9,County_Lookup_MC,24,FALSE)))</f>
        <v/>
      </c>
      <c r="B39" s="69"/>
      <c r="C39" s="61"/>
      <c r="D39" s="70" t="str">
        <f t="shared" ref="D39" si="20">IF($A39="","",IF(C39=0,0,B39/C39))</f>
        <v/>
      </c>
      <c r="E39" s="69"/>
      <c r="F39" s="61"/>
      <c r="G39" s="70" t="str">
        <f t="shared" ref="G39" si="21">IF($A39="","",IF(F39=0,0,E39/F39))</f>
        <v/>
      </c>
      <c r="H39" s="69"/>
      <c r="I39" s="61"/>
      <c r="J39" s="70" t="str">
        <f t="shared" ref="J39" si="22">IF($A39="","",IF(I39=0,0,H39/I39))</f>
        <v/>
      </c>
      <c r="K39" s="74" t="str">
        <f t="shared" ref="K39" si="23">IF($A39="","",SUM(E39,H39))</f>
        <v/>
      </c>
      <c r="L39" s="62" t="str">
        <f t="shared" ref="L39" si="24">IF($A39="","",SUM(F39,I39))</f>
        <v/>
      </c>
      <c r="M39" s="70" t="str">
        <f t="shared" ref="M39" si="25">IF($A39="","",IF(L39=0,0,K39/L39))</f>
        <v/>
      </c>
      <c r="N39" s="69"/>
      <c r="O39" s="61"/>
      <c r="P39" s="70" t="str">
        <f t="shared" ref="P39" si="26">IF($A39="","",IF(O39=0,0,N39/O39))</f>
        <v/>
      </c>
      <c r="Q39" s="69"/>
      <c r="R39" s="61"/>
      <c r="S39" s="70" t="str">
        <f t="shared" ref="S39" si="27">IF($A39="","",IF(R39=0,0,Q39/R39))</f>
        <v/>
      </c>
      <c r="T39" s="69"/>
      <c r="U39" s="61"/>
      <c r="V39" s="70" t="str">
        <f t="shared" ref="V39" si="28">IF($A39="","",IF(U39=0,0,T39/U39))</f>
        <v/>
      </c>
      <c r="W39" s="74" t="str">
        <f t="shared" ref="W39" si="29">IF($A39="","",SUM(Q39,T39))</f>
        <v/>
      </c>
      <c r="X39" s="62" t="str">
        <f t="shared" ref="X39" si="30">IF($A39="","",SUM(R39,U39))</f>
        <v/>
      </c>
      <c r="Y39" s="70" t="str">
        <f t="shared" ref="Y39" si="31">IF($A39="","",IF(X39=0,0,W39/X39))</f>
        <v/>
      </c>
      <c r="Z39" s="69"/>
      <c r="AA39" s="61"/>
      <c r="AB39" s="70" t="str">
        <f t="shared" ref="AB39" si="32">IF($A39="","",IF(AA39=0,0,Z39/AA39))</f>
        <v/>
      </c>
      <c r="AC39" s="69"/>
      <c r="AD39" s="61"/>
      <c r="AE39" s="70" t="str">
        <f t="shared" ref="AE39" si="33">IF($A39="","",IF(AD39=0,0,AC39/AD39))</f>
        <v/>
      </c>
      <c r="AF39" s="69"/>
      <c r="AG39" s="61"/>
      <c r="AH39" s="70" t="str">
        <f t="shared" ref="AH39" si="34">IF($A39="","",IF(AG39=0,0,AF39/AG39))</f>
        <v/>
      </c>
      <c r="AI39" s="74" t="str">
        <f t="shared" ref="AI39" si="35">IF($A39="","",SUM(AC39,AF39))</f>
        <v/>
      </c>
      <c r="AJ39" s="62" t="str">
        <f t="shared" ref="AJ39" si="36">IF($A39="","",SUM(AD39,AG39))</f>
        <v/>
      </c>
      <c r="AK39" s="70" t="str">
        <f t="shared" ref="AK39" si="37">IF($A39="","",IF(AJ39=0,0,AI39/AJ39))</f>
        <v/>
      </c>
      <c r="AL39" s="74" t="str">
        <f t="shared" ref="AL39" si="38">IF($A39="","",SUM(B39,E39,H39,N39,Q39,T39,Z39,AC39,AF39))</f>
        <v/>
      </c>
      <c r="AM39" s="62" t="str">
        <f t="shared" ref="AM39" si="39">IF($A39="","",SUM(C39,F39,I39,O39,R39,U39,AA39,AD39,AG39))</f>
        <v/>
      </c>
      <c r="AN39" s="70" t="str">
        <f t="shared" ref="AN39" si="40">IF($A39="","",IF(AM39=0,0,AL39/AM39))</f>
        <v/>
      </c>
    </row>
    <row r="40" spans="1:40" ht="18" customHeight="1">
      <c r="A40" s="77" t="str">
        <f>IF($C$9="Data Not Entered On Set-Up Worksheet","",IF(OR(VLOOKUP($C$9,County_Lookup_MC,25,FALSE)="",VLOOKUP($C$9,County_Lookup_MC,25,FALSE)=0),"",VLOOKUP($C$9,County_Lookup_MC,25,FALSE)))</f>
        <v/>
      </c>
      <c r="B40" s="69"/>
      <c r="C40" s="61"/>
      <c r="D40" s="70" t="str">
        <f t="shared" si="3"/>
        <v/>
      </c>
      <c r="E40" s="69"/>
      <c r="F40" s="61"/>
      <c r="G40" s="70" t="str">
        <f t="shared" si="4"/>
        <v/>
      </c>
      <c r="H40" s="69"/>
      <c r="I40" s="61"/>
      <c r="J40" s="70" t="str">
        <f t="shared" si="5"/>
        <v/>
      </c>
      <c r="K40" s="74" t="str">
        <f t="shared" si="6"/>
        <v/>
      </c>
      <c r="L40" s="62" t="str">
        <f t="shared" si="6"/>
        <v/>
      </c>
      <c r="M40" s="70" t="str">
        <f t="shared" si="7"/>
        <v/>
      </c>
      <c r="N40" s="69"/>
      <c r="O40" s="61"/>
      <c r="P40" s="70" t="str">
        <f t="shared" si="8"/>
        <v/>
      </c>
      <c r="Q40" s="69"/>
      <c r="R40" s="61"/>
      <c r="S40" s="70" t="str">
        <f t="shared" si="9"/>
        <v/>
      </c>
      <c r="T40" s="69"/>
      <c r="U40" s="61"/>
      <c r="V40" s="70" t="str">
        <f t="shared" si="10"/>
        <v/>
      </c>
      <c r="W40" s="74" t="str">
        <f t="shared" si="11"/>
        <v/>
      </c>
      <c r="X40" s="62" t="str">
        <f t="shared" si="11"/>
        <v/>
      </c>
      <c r="Y40" s="70" t="str">
        <f t="shared" si="12"/>
        <v/>
      </c>
      <c r="Z40" s="69"/>
      <c r="AA40" s="61"/>
      <c r="AB40" s="70" t="str">
        <f t="shared" si="13"/>
        <v/>
      </c>
      <c r="AC40" s="69"/>
      <c r="AD40" s="61"/>
      <c r="AE40" s="70" t="str">
        <f t="shared" si="14"/>
        <v/>
      </c>
      <c r="AF40" s="69"/>
      <c r="AG40" s="61"/>
      <c r="AH40" s="70" t="str">
        <f t="shared" si="15"/>
        <v/>
      </c>
      <c r="AI40" s="74" t="str">
        <f t="shared" si="16"/>
        <v/>
      </c>
      <c r="AJ40" s="62" t="str">
        <f t="shared" si="16"/>
        <v/>
      </c>
      <c r="AK40" s="70" t="str">
        <f t="shared" si="17"/>
        <v/>
      </c>
      <c r="AL40" s="74" t="str">
        <f t="shared" si="18"/>
        <v/>
      </c>
      <c r="AM40" s="62" t="str">
        <f t="shared" si="18"/>
        <v/>
      </c>
      <c r="AN40" s="70" t="str">
        <f t="shared" si="19"/>
        <v/>
      </c>
    </row>
    <row r="41" spans="1:40" ht="18" customHeight="1" thickBot="1">
      <c r="A41" s="78" t="s">
        <v>0</v>
      </c>
      <c r="B41" s="71">
        <f>SUM(B17:B40)</f>
        <v>0</v>
      </c>
      <c r="C41" s="72">
        <f>SUM(C17:C40)</f>
        <v>0</v>
      </c>
      <c r="D41" s="73">
        <f t="shared" ref="D41" si="41">IF(C41=0,0,B41/C41)</f>
        <v>0</v>
      </c>
      <c r="E41" s="71">
        <f>SUM(E17:E40)</f>
        <v>0</v>
      </c>
      <c r="F41" s="72">
        <f>SUM(F17:F40)</f>
        <v>0</v>
      </c>
      <c r="G41" s="73">
        <f t="shared" ref="G41" si="42">IF(F41=0,0,E41/F41)</f>
        <v>0</v>
      </c>
      <c r="H41" s="71">
        <f>SUM(H17:H40)</f>
        <v>0</v>
      </c>
      <c r="I41" s="72">
        <f>SUM(I17:I40)</f>
        <v>0</v>
      </c>
      <c r="J41" s="73">
        <f t="shared" ref="J41" si="43">IF(I41=0,0,H41/I41)</f>
        <v>0</v>
      </c>
      <c r="K41" s="71">
        <f>SUM(K17:K40)</f>
        <v>0</v>
      </c>
      <c r="L41" s="72">
        <f>SUM(L17:L40)</f>
        <v>0</v>
      </c>
      <c r="M41" s="73">
        <f t="shared" ref="M41" si="44">IF(L41=0,0,K41/L41)</f>
        <v>0</v>
      </c>
      <c r="N41" s="71">
        <f>SUM(N17:N40)</f>
        <v>0</v>
      </c>
      <c r="O41" s="72">
        <f>SUM(O17:O40)</f>
        <v>0</v>
      </c>
      <c r="P41" s="73">
        <f t="shared" ref="P41" si="45">IF(O41=0,0,N41/O41)</f>
        <v>0</v>
      </c>
      <c r="Q41" s="71">
        <f>SUM(Q17:Q40)</f>
        <v>0</v>
      </c>
      <c r="R41" s="72">
        <f>SUM(R17:R40)</f>
        <v>0</v>
      </c>
      <c r="S41" s="73">
        <f t="shared" ref="S41" si="46">IF(R41=0,0,Q41/R41)</f>
        <v>0</v>
      </c>
      <c r="T41" s="71">
        <f>SUM(T17:T40)</f>
        <v>0</v>
      </c>
      <c r="U41" s="72">
        <f>SUM(U17:U40)</f>
        <v>0</v>
      </c>
      <c r="V41" s="73">
        <f t="shared" ref="V41" si="47">IF(U41=0,0,T41/U41)</f>
        <v>0</v>
      </c>
      <c r="W41" s="71">
        <f>SUM(W17:W40)</f>
        <v>0</v>
      </c>
      <c r="X41" s="72">
        <f>SUM(X17:X40)</f>
        <v>0</v>
      </c>
      <c r="Y41" s="73">
        <f t="shared" ref="Y41" si="48">IF(X41=0,0,W41/X41)</f>
        <v>0</v>
      </c>
      <c r="Z41" s="71">
        <f>SUM(Z17:Z40)</f>
        <v>0</v>
      </c>
      <c r="AA41" s="72">
        <f>SUM(AA17:AA40)</f>
        <v>0</v>
      </c>
      <c r="AB41" s="73">
        <f t="shared" ref="AB41" si="49">IF(AA41=0,0,Z41/AA41)</f>
        <v>0</v>
      </c>
      <c r="AC41" s="71">
        <f>SUM(AC17:AC40)</f>
        <v>0</v>
      </c>
      <c r="AD41" s="72">
        <f>SUM(AD17:AD40)</f>
        <v>0</v>
      </c>
      <c r="AE41" s="73">
        <f t="shared" ref="AE41" si="50">IF(AD41=0,0,AC41/AD41)</f>
        <v>0</v>
      </c>
      <c r="AF41" s="71">
        <f>SUM(AF17:AF40)</f>
        <v>0</v>
      </c>
      <c r="AG41" s="72">
        <f>SUM(AG17:AG40)</f>
        <v>0</v>
      </c>
      <c r="AH41" s="73">
        <f t="shared" ref="AH41" si="51">IF(AG41=0,0,AF41/AG41)</f>
        <v>0</v>
      </c>
      <c r="AI41" s="71">
        <f>SUM(AI17:AI40)</f>
        <v>0</v>
      </c>
      <c r="AJ41" s="72">
        <f>SUM(AJ17:AJ40)</f>
        <v>0</v>
      </c>
      <c r="AK41" s="73">
        <f t="shared" ref="AK41" si="52">IF(AJ41=0,0,AI41/AJ41)</f>
        <v>0</v>
      </c>
      <c r="AL41" s="71">
        <f>SUM(AL17:AL40)</f>
        <v>0</v>
      </c>
      <c r="AM41" s="72">
        <f>SUM(AM17:AM40)</f>
        <v>0</v>
      </c>
      <c r="AN41" s="73">
        <f t="shared" ref="AN41" si="53">IF(AM41=0,0,AL41/AM41)</f>
        <v>0</v>
      </c>
    </row>
  </sheetData>
  <sheetProtection sheet="1" objects="1" scenarios="1"/>
  <conditionalFormatting sqref="C3:C4">
    <cfRule type="expression" dxfId="203" priority="67">
      <formula>C3="Data Not Entered On Set-Up Worksheet"</formula>
    </cfRule>
  </conditionalFormatting>
  <conditionalFormatting sqref="C9">
    <cfRule type="expression" dxfId="202" priority="66">
      <formula>C9="Data Not Entered On Set-Up Worksheet"</formula>
    </cfRule>
  </conditionalFormatting>
  <conditionalFormatting sqref="C12">
    <cfRule type="expression" dxfId="201" priority="65">
      <formula>C12="Data Not Entered On Set-Up Worksheet"</formula>
    </cfRule>
  </conditionalFormatting>
  <conditionalFormatting sqref="B17:C40">
    <cfRule type="expression" dxfId="200" priority="64">
      <formula>AND($A17&lt;&gt;"",B17="")</formula>
    </cfRule>
  </conditionalFormatting>
  <conditionalFormatting sqref="F3">
    <cfRule type="expression" dxfId="199" priority="63">
      <formula>F3="Data Not Entered On Set-Up Worksheet"</formula>
    </cfRule>
  </conditionalFormatting>
  <conditionalFormatting sqref="F12">
    <cfRule type="expression" dxfId="198" priority="62">
      <formula>F12="Data Not Entered On Set-Up Worksheet"</formula>
    </cfRule>
  </conditionalFormatting>
  <conditionalFormatting sqref="I3">
    <cfRule type="expression" dxfId="197" priority="61">
      <formula>I3="Data Not Entered On Set-Up Worksheet"</formula>
    </cfRule>
  </conditionalFormatting>
  <conditionalFormatting sqref="I9">
    <cfRule type="expression" dxfId="196" priority="60">
      <formula>I9="Data Not Entered On Set-Up Worksheet"</formula>
    </cfRule>
  </conditionalFormatting>
  <conditionalFormatting sqref="I11:I12">
    <cfRule type="expression" dxfId="195" priority="59">
      <formula>I11="Data Not Entered On Set-Up Worksheet"</formula>
    </cfRule>
  </conditionalFormatting>
  <conditionalFormatting sqref="L3">
    <cfRule type="expression" dxfId="194" priority="58">
      <formula>L3="Data Not Entered On Set-Up Worksheet"</formula>
    </cfRule>
  </conditionalFormatting>
  <conditionalFormatting sqref="L9">
    <cfRule type="expression" dxfId="193" priority="57">
      <formula>L9="Data Not Entered On Set-Up Worksheet"</formula>
    </cfRule>
  </conditionalFormatting>
  <conditionalFormatting sqref="L11:L12">
    <cfRule type="expression" dxfId="192" priority="56">
      <formula>L11="Data Not Entered On Set-Up Worksheet"</formula>
    </cfRule>
  </conditionalFormatting>
  <conditionalFormatting sqref="O3">
    <cfRule type="expression" dxfId="191" priority="55">
      <formula>O3="Data Not Entered On Set-Up Worksheet"</formula>
    </cfRule>
  </conditionalFormatting>
  <conditionalFormatting sqref="O9">
    <cfRule type="expression" dxfId="190" priority="54">
      <formula>O9="Data Not Entered On Set-Up Worksheet"</formula>
    </cfRule>
  </conditionalFormatting>
  <conditionalFormatting sqref="O11:O12">
    <cfRule type="expression" dxfId="189" priority="53">
      <formula>O11="Data Not Entered On Set-Up Worksheet"</formula>
    </cfRule>
  </conditionalFormatting>
  <conditionalFormatting sqref="R3">
    <cfRule type="expression" dxfId="188" priority="52">
      <formula>R3="Data Not Entered On Set-Up Worksheet"</formula>
    </cfRule>
  </conditionalFormatting>
  <conditionalFormatting sqref="R9">
    <cfRule type="expression" dxfId="187" priority="51">
      <formula>R9="Data Not Entered On Set-Up Worksheet"</formula>
    </cfRule>
  </conditionalFormatting>
  <conditionalFormatting sqref="R11:R12">
    <cfRule type="expression" dxfId="186" priority="50">
      <formula>R11="Data Not Entered On Set-Up Worksheet"</formula>
    </cfRule>
  </conditionalFormatting>
  <conditionalFormatting sqref="U3">
    <cfRule type="expression" dxfId="185" priority="49">
      <formula>U3="Data Not Entered On Set-Up Worksheet"</formula>
    </cfRule>
  </conditionalFormatting>
  <conditionalFormatting sqref="U9">
    <cfRule type="expression" dxfId="184" priority="48">
      <formula>U9="Data Not Entered On Set-Up Worksheet"</formula>
    </cfRule>
  </conditionalFormatting>
  <conditionalFormatting sqref="U11:U12">
    <cfRule type="expression" dxfId="183" priority="47">
      <formula>U11="Data Not Entered On Set-Up Worksheet"</formula>
    </cfRule>
  </conditionalFormatting>
  <conditionalFormatting sqref="AM3">
    <cfRule type="expression" dxfId="182" priority="46">
      <formula>AM3="Data Not Entered On Set-Up Worksheet"</formula>
    </cfRule>
  </conditionalFormatting>
  <conditionalFormatting sqref="AM9">
    <cfRule type="expression" dxfId="181" priority="45">
      <formula>AM9="Data Not Entered On Set-Up Worksheet"</formula>
    </cfRule>
  </conditionalFormatting>
  <conditionalFormatting sqref="AM11:AM12">
    <cfRule type="expression" dxfId="180" priority="44">
      <formula>AM11="Data Not Entered On Set-Up Worksheet"</formula>
    </cfRule>
  </conditionalFormatting>
  <conditionalFormatting sqref="E17:F40">
    <cfRule type="expression" dxfId="179" priority="43">
      <formula>AND($A17&lt;&gt;"",E17="")</formula>
    </cfRule>
  </conditionalFormatting>
  <conditionalFormatting sqref="H17:I40">
    <cfRule type="expression" dxfId="178" priority="42">
      <formula>AND($A17&lt;&gt;"",H17="")</formula>
    </cfRule>
  </conditionalFormatting>
  <conditionalFormatting sqref="N17:O40">
    <cfRule type="expression" dxfId="177" priority="41">
      <formula>AND($A17&lt;&gt;"",N17="")</formula>
    </cfRule>
  </conditionalFormatting>
  <conditionalFormatting sqref="Q17:R40">
    <cfRule type="expression" dxfId="176" priority="40">
      <formula>AND($A17&lt;&gt;"",Q17="")</formula>
    </cfRule>
  </conditionalFormatting>
  <conditionalFormatting sqref="T17:U40">
    <cfRule type="expression" dxfId="175" priority="39">
      <formula>AND($A17&lt;&gt;"",T17="")</formula>
    </cfRule>
  </conditionalFormatting>
  <conditionalFormatting sqref="C11">
    <cfRule type="expression" dxfId="174" priority="38">
      <formula>C11="Data Not Entered On Set-Up Worksheet"</formula>
    </cfRule>
  </conditionalFormatting>
  <conditionalFormatting sqref="X3">
    <cfRule type="expression" dxfId="173" priority="37">
      <formula>X3="Data Not Entered On Set-Up Worksheet"</formula>
    </cfRule>
  </conditionalFormatting>
  <conditionalFormatting sqref="X9">
    <cfRule type="expression" dxfId="172" priority="36">
      <formula>X9="Data Not Entered On Set-Up Worksheet"</formula>
    </cfRule>
  </conditionalFormatting>
  <conditionalFormatting sqref="X11:X12">
    <cfRule type="expression" dxfId="171" priority="35">
      <formula>X11="Data Not Entered On Set-Up Worksheet"</formula>
    </cfRule>
  </conditionalFormatting>
  <conditionalFormatting sqref="AA3">
    <cfRule type="expression" dxfId="170" priority="34">
      <formula>AA3="Data Not Entered On Set-Up Worksheet"</formula>
    </cfRule>
  </conditionalFormatting>
  <conditionalFormatting sqref="AA9">
    <cfRule type="expression" dxfId="169" priority="33">
      <formula>AA9="Data Not Entered On Set-Up Worksheet"</formula>
    </cfRule>
  </conditionalFormatting>
  <conditionalFormatting sqref="AA11:AA12">
    <cfRule type="expression" dxfId="168" priority="32">
      <formula>AA11="Data Not Entered On Set-Up Worksheet"</formula>
    </cfRule>
  </conditionalFormatting>
  <conditionalFormatting sqref="AD3">
    <cfRule type="expression" dxfId="167" priority="31">
      <formula>AD3="Data Not Entered On Set-Up Worksheet"</formula>
    </cfRule>
  </conditionalFormatting>
  <conditionalFormatting sqref="AD9">
    <cfRule type="expression" dxfId="166" priority="30">
      <formula>AD9="Data Not Entered On Set-Up Worksheet"</formula>
    </cfRule>
  </conditionalFormatting>
  <conditionalFormatting sqref="AD11:AD12">
    <cfRule type="expression" dxfId="165" priority="29">
      <formula>AD11="Data Not Entered On Set-Up Worksheet"</formula>
    </cfRule>
  </conditionalFormatting>
  <conditionalFormatting sqref="AG3">
    <cfRule type="expression" dxfId="164" priority="28">
      <formula>AG3="Data Not Entered On Set-Up Worksheet"</formula>
    </cfRule>
  </conditionalFormatting>
  <conditionalFormatting sqref="AG9">
    <cfRule type="expression" dxfId="163" priority="27">
      <formula>AG9="Data Not Entered On Set-Up Worksheet"</formula>
    </cfRule>
  </conditionalFormatting>
  <conditionalFormatting sqref="AG11:AG12">
    <cfRule type="expression" dxfId="162" priority="26">
      <formula>AG11="Data Not Entered On Set-Up Worksheet"</formula>
    </cfRule>
  </conditionalFormatting>
  <conditionalFormatting sqref="Z17:AA40">
    <cfRule type="expression" dxfId="161" priority="25">
      <formula>AND($A17&lt;&gt;"",Z17="")</formula>
    </cfRule>
  </conditionalFormatting>
  <conditionalFormatting sqref="AC17:AD40">
    <cfRule type="expression" dxfId="160" priority="24">
      <formula>AND($A17&lt;&gt;"",AC17="")</formula>
    </cfRule>
  </conditionalFormatting>
  <conditionalFormatting sqref="AF17:AG40">
    <cfRule type="expression" dxfId="159" priority="23">
      <formula>AND($A17&lt;&gt;"",AF17="")</formula>
    </cfRule>
  </conditionalFormatting>
  <conditionalFormatting sqref="AJ3">
    <cfRule type="expression" dxfId="158" priority="22">
      <formula>AJ3="Data Not Entered On Set-Up Worksheet"</formula>
    </cfRule>
  </conditionalFormatting>
  <conditionalFormatting sqref="AJ9">
    <cfRule type="expression" dxfId="157" priority="21">
      <formula>AJ9="Data Not Entered On Set-Up Worksheet"</formula>
    </cfRule>
  </conditionalFormatting>
  <conditionalFormatting sqref="AJ11:AJ12">
    <cfRule type="expression" dxfId="156" priority="20">
      <formula>AJ11="Data Not Entered On Set-Up Worksheet"</formula>
    </cfRule>
  </conditionalFormatting>
  <conditionalFormatting sqref="F10:F11">
    <cfRule type="expression" dxfId="155" priority="10">
      <formula>F10="Data Not Entered On Set-Up Worksheet"</formula>
    </cfRule>
  </conditionalFormatting>
  <conditionalFormatting sqref="E39:F39">
    <cfRule type="expression" dxfId="154" priority="8">
      <formula>AND($A39&lt;&gt;"",E39="")</formula>
    </cfRule>
  </conditionalFormatting>
  <conditionalFormatting sqref="H39:I39">
    <cfRule type="expression" dxfId="153" priority="7">
      <formula>AND($A39&lt;&gt;"",H39="")</formula>
    </cfRule>
  </conditionalFormatting>
  <conditionalFormatting sqref="N39:O39">
    <cfRule type="expression" dxfId="152" priority="6">
      <formula>AND($A39&lt;&gt;"",N39="")</formula>
    </cfRule>
  </conditionalFormatting>
  <conditionalFormatting sqref="Q39:R39">
    <cfRule type="expression" dxfId="151" priority="5">
      <formula>AND($A39&lt;&gt;"",Q39="")</formula>
    </cfRule>
  </conditionalFormatting>
  <conditionalFormatting sqref="T39:U39">
    <cfRule type="expression" dxfId="150" priority="4">
      <formula>AND($A39&lt;&gt;"",T39="")</formula>
    </cfRule>
  </conditionalFormatting>
  <conditionalFormatting sqref="Z39:AA39">
    <cfRule type="expression" dxfId="149" priority="3">
      <formula>AND($A39&lt;&gt;"",Z39="")</formula>
    </cfRule>
  </conditionalFormatting>
  <conditionalFormatting sqref="AC39:AD39">
    <cfRule type="expression" dxfId="148" priority="2">
      <formula>AND($A39&lt;&gt;"",AC39="")</formula>
    </cfRule>
  </conditionalFormatting>
  <conditionalFormatting sqref="AF39:AG39">
    <cfRule type="expression" dxfId="147" priority="1">
      <formula>AND($A39&lt;&gt;"",AF39="")</formula>
    </cfRule>
  </conditionalFormatting>
  <pageMargins left="0.5" right="0.5" top="0.5" bottom="0.5" header="0.3" footer="0.3"/>
  <pageSetup scale="55" orientation="landscape" r:id="rId1"/>
  <headerFooter>
    <oddFooter>&amp;LNC DHHS LME-MCO Performance Measures Report Part II DMH/DD/SAS Measures&amp;C&amp;P&amp;R&amp;F</oddFooter>
  </headerFooter>
  <colBreaks count="3" manualBreakCount="3">
    <brk id="13" max="1048575" man="1"/>
    <brk id="25" max="1048575" man="1"/>
    <brk id="37" max="1048575"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16"/>
  <sheetViews>
    <sheetView showGridLines="0" workbookViewId="0">
      <selection activeCell="E7" sqref="E7"/>
    </sheetView>
  </sheetViews>
  <sheetFormatPr defaultRowHeight="12.75"/>
  <cols>
    <col min="1" max="1" width="22.42578125" style="22" customWidth="1"/>
    <col min="2" max="2" width="9.140625" style="22"/>
    <col min="3" max="3" width="20" style="22" customWidth="1"/>
    <col min="4" max="4" width="15.7109375" style="22" customWidth="1"/>
    <col min="5" max="5" width="21" style="22" bestFit="1" customWidth="1"/>
    <col min="6" max="6" width="15.7109375" style="22" customWidth="1"/>
    <col min="7" max="16384" width="9.140625" style="22"/>
  </cols>
  <sheetData>
    <row r="1" spans="1:9" ht="15" customHeight="1">
      <c r="A1" s="36" t="s">
        <v>28</v>
      </c>
    </row>
    <row r="2" spans="1:9" ht="15" customHeight="1">
      <c r="A2" s="36" t="s">
        <v>198</v>
      </c>
    </row>
    <row r="3" spans="1:9" ht="15" customHeight="1">
      <c r="A3" s="30" t="s">
        <v>196</v>
      </c>
      <c r="C3" s="147">
        <f>IF('Set-Up Worksheet'!F3="","Data Not Entered On Set-Up Worksheet",'Set-Up Worksheet'!F3)</f>
        <v>2017</v>
      </c>
    </row>
    <row r="4" spans="1:9" ht="15" customHeight="1">
      <c r="A4" s="30" t="s">
        <v>197</v>
      </c>
      <c r="C4" s="147" t="str">
        <f>IF('Set-Up Worksheet'!F4="","Data Not Entered On Set-Up Worksheet",'Set-Up Worksheet'!F4)</f>
        <v>1st Quarter</v>
      </c>
    </row>
    <row r="5" spans="1:9" ht="15" customHeight="1">
      <c r="C5" s="32"/>
    </row>
    <row r="6" spans="1:9" ht="15" customHeight="1">
      <c r="A6" s="30" t="s">
        <v>340</v>
      </c>
      <c r="C6" s="32"/>
    </row>
    <row r="7" spans="1:9" ht="15" customHeight="1">
      <c r="A7" s="30" t="s">
        <v>385</v>
      </c>
      <c r="C7" s="32"/>
    </row>
    <row r="8" spans="1:9" ht="15" customHeight="1">
      <c r="A8" s="30"/>
      <c r="C8" s="32"/>
    </row>
    <row r="9" spans="1:9" ht="15" customHeight="1">
      <c r="A9" s="30" t="s">
        <v>29</v>
      </c>
      <c r="C9" s="39" t="str">
        <f>IF('Set-Up Worksheet'!E7="","Data Not Entered On Set-Up Worksheet",'Set-Up Worksheet'!E7)</f>
        <v>Data Not Entered On Set-Up Worksheet</v>
      </c>
    </row>
    <row r="10" spans="1:9" ht="15" customHeight="1">
      <c r="A10" s="30" t="s">
        <v>9</v>
      </c>
      <c r="C10" s="32" t="s">
        <v>10</v>
      </c>
    </row>
    <row r="11" spans="1:9" ht="15" customHeight="1">
      <c r="A11" s="30" t="s">
        <v>199</v>
      </c>
      <c r="C11" s="54" t="s">
        <v>388</v>
      </c>
      <c r="D11" s="40" t="str">
        <f>IF(C4="Data Not Entered On Set-Up Worksheet","Data Not Entered On Set-Up Worksheet",IF(C4="1st Quarter",'Report Schedule'!D37,IF(C4="2nd Quarter",'Report Schedule'!E37,IF(C4="3rd Quarter",'Report Schedule'!F37,IF(C4="4th Quarter",'Report Schedule'!G37,"")))))</f>
        <v>Apr - Jun 2016</v>
      </c>
      <c r="E11" s="54" t="s">
        <v>389</v>
      </c>
      <c r="F11" s="22" t="str">
        <f>IF(C4="Data Not Entered On Set-Up Worksheet","Data Not Entered On Set-Up Worksheet",IF(C4="1st Quarter",'Report Schedule'!D40,IF(C4="2nd Quarter",'Report Schedule'!E40,IF(C4="3rd Quarter",'Report Schedule'!F40,IF(C4="4th Quarter",'Report Schedule'!G40,"")))))</f>
        <v>Jan - Mar 2016</v>
      </c>
    </row>
    <row r="14" spans="1:9" ht="112.5" customHeight="1">
      <c r="A14" s="522" t="s">
        <v>386</v>
      </c>
      <c r="B14" s="522"/>
      <c r="C14" s="522"/>
      <c r="D14" s="522"/>
      <c r="E14" s="522"/>
      <c r="F14" s="522"/>
      <c r="G14" s="522"/>
      <c r="H14" s="522"/>
      <c r="I14" s="47"/>
    </row>
    <row r="15" spans="1:9">
      <c r="A15" s="47"/>
      <c r="B15" s="47"/>
      <c r="C15" s="47"/>
      <c r="D15" s="47"/>
      <c r="E15" s="47"/>
      <c r="F15" s="47"/>
      <c r="G15" s="47"/>
      <c r="H15" s="47"/>
      <c r="I15" s="47"/>
    </row>
    <row r="16" spans="1:9">
      <c r="A16" s="47"/>
      <c r="B16" s="47"/>
      <c r="C16" s="47"/>
      <c r="D16" s="47"/>
      <c r="E16" s="47"/>
      <c r="F16" s="47"/>
      <c r="G16" s="47"/>
      <c r="H16" s="47"/>
      <c r="I16" s="47"/>
    </row>
  </sheetData>
  <sheetProtection sheet="1" objects="1" scenarios="1"/>
  <mergeCells count="1">
    <mergeCell ref="A14:H14"/>
  </mergeCells>
  <conditionalFormatting sqref="C3:C4">
    <cfRule type="expression" dxfId="146" priority="3">
      <formula>C3="Data Not Entered On Set-Up Worksheet"</formula>
    </cfRule>
  </conditionalFormatting>
  <conditionalFormatting sqref="C9">
    <cfRule type="expression" dxfId="145" priority="2">
      <formula>C9="Data Not Entered On Set-Up Worksheet"</formula>
    </cfRule>
  </conditionalFormatting>
  <conditionalFormatting sqref="D11">
    <cfRule type="expression" dxfId="144"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J40" sqref="J40"/>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28</v>
      </c>
      <c r="E1" s="30"/>
      <c r="H1" s="30"/>
    </row>
    <row r="2" spans="1:22" ht="15" customHeight="1">
      <c r="A2" s="36" t="s">
        <v>198</v>
      </c>
      <c r="E2" s="321"/>
      <c r="H2" s="321"/>
    </row>
    <row r="3" spans="1:22" ht="15" customHeight="1">
      <c r="A3" s="30" t="s">
        <v>196</v>
      </c>
      <c r="C3" s="147">
        <f>IF('Set-Up Worksheet'!F3="","Data Not Entered On Set-Up Worksheet",'Set-Up Worksheet'!F3)</f>
        <v>2017</v>
      </c>
      <c r="D3" s="147"/>
      <c r="G3" s="147"/>
      <c r="J3" s="147"/>
    </row>
    <row r="4" spans="1:22" ht="15" customHeight="1">
      <c r="A4" s="30" t="s">
        <v>197</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340</v>
      </c>
      <c r="C6" s="32"/>
      <c r="D6" s="32"/>
      <c r="E6" s="30"/>
      <c r="G6" s="32"/>
      <c r="H6" s="30"/>
      <c r="J6" s="32"/>
    </row>
    <row r="7" spans="1:22" ht="15" customHeight="1">
      <c r="A7" s="31" t="s">
        <v>390</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29</v>
      </c>
      <c r="C9" s="39" t="str">
        <f>IF('Set-Up Worksheet'!E7="","Data Not Entered On Set-Up Worksheet",'Set-Up Worksheet'!E7)</f>
        <v>Data Not Entered On Set-Up Worksheet</v>
      </c>
      <c r="D9" s="39"/>
      <c r="F9" s="79" t="s">
        <v>449</v>
      </c>
      <c r="G9" s="39"/>
      <c r="J9" s="39"/>
    </row>
    <row r="10" spans="1:22" ht="15" customHeight="1">
      <c r="A10" s="30" t="s">
        <v>9</v>
      </c>
      <c r="C10" s="32" t="s">
        <v>10</v>
      </c>
      <c r="D10" s="32"/>
      <c r="F10" s="79"/>
      <c r="G10" s="32"/>
      <c r="J10" s="32"/>
    </row>
    <row r="11" spans="1:22" ht="15" customHeight="1">
      <c r="A11" s="30" t="s">
        <v>199</v>
      </c>
      <c r="C11" s="40" t="str">
        <f>IF(C4="Data Not Entered On Set-Up Worksheet","Data Not Entered On Set-Up Worksheet",IF(C4="1st Quarter",'Report Schedule'!D43,IF(C4="2nd Quarter",'Report Schedule'!E43,IF(C4="3rd Quarter",'Report Schedule'!F43,IF(C4="4th Quarter",'Report Schedule'!G43,"")))))</f>
        <v>Apr - Jun 2016</v>
      </c>
      <c r="D11" s="40"/>
      <c r="G11" s="40"/>
      <c r="J11" s="40"/>
    </row>
    <row r="12" spans="1:22" ht="15" customHeight="1" thickBot="1">
      <c r="A12" s="30"/>
      <c r="C12" s="40"/>
      <c r="D12" s="40"/>
      <c r="G12" s="40"/>
      <c r="J12" s="40"/>
    </row>
    <row r="13" spans="1:22" ht="18" customHeight="1" thickBot="1">
      <c r="A13" s="226" t="s">
        <v>330</v>
      </c>
      <c r="B13" s="384" t="s">
        <v>39</v>
      </c>
      <c r="C13" s="235"/>
      <c r="D13" s="236"/>
      <c r="E13" s="383" t="s">
        <v>244</v>
      </c>
      <c r="F13" s="231"/>
      <c r="G13" s="232"/>
      <c r="H13" s="384" t="s">
        <v>246</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43</v>
      </c>
      <c r="B15" s="242" t="s">
        <v>31</v>
      </c>
      <c r="C15" s="240" t="s">
        <v>30</v>
      </c>
      <c r="D15" s="241" t="s">
        <v>32</v>
      </c>
      <c r="E15" s="333" t="s">
        <v>31</v>
      </c>
      <c r="F15" s="67" t="s">
        <v>30</v>
      </c>
      <c r="G15" s="68" t="s">
        <v>32</v>
      </c>
      <c r="H15" s="335" t="s">
        <v>31</v>
      </c>
      <c r="I15" s="240" t="s">
        <v>30</v>
      </c>
      <c r="J15" s="241" t="s">
        <v>32</v>
      </c>
    </row>
    <row r="16" spans="1:22" ht="18" customHeight="1">
      <c r="A16" s="76" t="str">
        <f>IF($C$9="Data Not Entered On Set-Up Worksheet","",IF(OR(VLOOKUP($C$9,County_Lookup,2,FALSE)="",VLOOKUP($C$9,County_Lookup,2,FALSE)=0),"",VLOOKUP($C$9,County_Lookup,2,FALSE)))</f>
        <v/>
      </c>
      <c r="B16" s="222"/>
      <c r="C16" s="61"/>
      <c r="D16" s="87" t="str">
        <f t="shared" ref="D16:D40" si="0">IF($A16="","",IF($C16=0,0,B16/$C16))</f>
        <v/>
      </c>
      <c r="E16" s="69"/>
      <c r="F16" s="61"/>
      <c r="G16" s="87" t="str">
        <f t="shared" ref="G16:G40" si="1">IF($A16="","",IF($F16=0,0,E16/$F16))</f>
        <v/>
      </c>
      <c r="H16" s="69"/>
      <c r="I16" s="61"/>
      <c r="J16" s="87" t="str">
        <f t="shared" ref="J16:J40"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 si="3">IF($A38="","",IF($C38=0,0,B38/$C38))</f>
        <v/>
      </c>
      <c r="E38" s="69"/>
      <c r="F38" s="61"/>
      <c r="G38" s="87" t="str">
        <f t="shared" ref="G38" si="4">IF($A38="","",IF($F38=0,0,E38/$F38))</f>
        <v/>
      </c>
      <c r="H38" s="69"/>
      <c r="I38" s="61"/>
      <c r="J38" s="87" t="str">
        <f t="shared" ref="J38" si="5">IF($A38="","",IF($I38=0,0,H38/$I38))</f>
        <v/>
      </c>
    </row>
    <row r="39" spans="1:10" ht="18" customHeight="1">
      <c r="A39" s="77" t="str">
        <f>IF($C$9="Data Not Entered On Set-Up Worksheet","",IF(OR(VLOOKUP($C$9,County_Lookup,25,FALSE)="",VLOOKUP($C$9,County_Lookup,25,FALSE)=0),"",VLOOKUP($C$9,County_Lookup,25,FALSE)))</f>
        <v/>
      </c>
      <c r="B39" s="222"/>
      <c r="C39" s="61"/>
      <c r="D39" s="87" t="str">
        <f t="shared" si="0"/>
        <v/>
      </c>
      <c r="E39" s="69"/>
      <c r="F39" s="61"/>
      <c r="G39" s="87" t="str">
        <f t="shared" si="1"/>
        <v/>
      </c>
      <c r="H39" s="69"/>
      <c r="I39" s="61"/>
      <c r="J39" s="87" t="str">
        <f t="shared" si="2"/>
        <v/>
      </c>
    </row>
    <row r="40" spans="1:10" ht="18" customHeight="1" thickBot="1">
      <c r="A40" s="78" t="s">
        <v>0</v>
      </c>
      <c r="B40" s="223">
        <f t="shared" ref="B40" si="6">SUM(B16:B39)</f>
        <v>0</v>
      </c>
      <c r="C40" s="72">
        <f>SUM(C16:C39)</f>
        <v>0</v>
      </c>
      <c r="D40" s="53">
        <f t="shared" si="0"/>
        <v>0</v>
      </c>
      <c r="E40" s="334">
        <f t="shared" ref="E40" si="7">SUM(E16:E39)</f>
        <v>0</v>
      </c>
      <c r="F40" s="72">
        <f>SUM(F16:F39)</f>
        <v>0</v>
      </c>
      <c r="G40" s="53">
        <f t="shared" si="1"/>
        <v>0</v>
      </c>
      <c r="H40" s="334">
        <f t="shared" ref="H40" si="8">SUM(H16:H39)</f>
        <v>0</v>
      </c>
      <c r="I40" s="72">
        <f>SUM(I16:I39)</f>
        <v>0</v>
      </c>
      <c r="J40" s="53">
        <f t="shared" si="2"/>
        <v>0</v>
      </c>
    </row>
  </sheetData>
  <sheetProtection sheet="1" objects="1" scenarios="1"/>
  <conditionalFormatting sqref="C3:D4 C9:D9 C11:D12">
    <cfRule type="expression" dxfId="143" priority="16">
      <formula>C3="Data Not Entered On Set-Up Worksheet"</formula>
    </cfRule>
  </conditionalFormatting>
  <conditionalFormatting sqref="B16:C39 E16:F39 H16:I39">
    <cfRule type="expression" dxfId="142" priority="14">
      <formula>AND($A16&lt;&gt;"",B16="")</formula>
    </cfRule>
  </conditionalFormatting>
  <conditionalFormatting sqref="G3:G4 G9 G11:G12">
    <cfRule type="expression" dxfId="141" priority="13">
      <formula>G3="Data Not Entered On Set-Up Worksheet"</formula>
    </cfRule>
  </conditionalFormatting>
  <conditionalFormatting sqref="J3:J4 J9 J11:J12">
    <cfRule type="expression" dxfId="140" priority="10">
      <formula>J3="Data Not Entered On Set-Up Worksheet"</formula>
    </cfRule>
  </conditionalFormatting>
  <conditionalFormatting sqref="F9:F10">
    <cfRule type="expression" dxfId="139" priority="7">
      <formula>F9="Data Not Entered On Set-Up Worksheet"</formula>
    </cfRule>
  </conditionalFormatting>
  <conditionalFormatting sqref="B16:C39">
    <cfRule type="expression" dxfId="138" priority="1">
      <formula>$A16="Other"</formula>
    </cfRule>
  </conditionalFormatting>
  <pageMargins left="0.5" right="0.5" top="0.5" bottom="0.5" header="0.3" footer="0.3"/>
  <pageSetup scale="61" orientation="landscape" r:id="rId1"/>
  <headerFooter>
    <oddFooter>&amp;LNC DHHS LME-MCO Performance Measures Report Part II DMH/DD/SAS Measures&amp;C&amp;P&amp;R&amp;F</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28</v>
      </c>
      <c r="E1" s="30"/>
      <c r="H1" s="30"/>
    </row>
    <row r="2" spans="1:22" ht="15" customHeight="1">
      <c r="A2" s="36" t="s">
        <v>198</v>
      </c>
      <c r="E2" s="321"/>
      <c r="H2" s="321"/>
    </row>
    <row r="3" spans="1:22" ht="15" customHeight="1">
      <c r="A3" s="30" t="s">
        <v>196</v>
      </c>
      <c r="C3" s="147">
        <f>IF('Set-Up Worksheet'!F3="","Data Not Entered On Set-Up Worksheet",'Set-Up Worksheet'!F3)</f>
        <v>2017</v>
      </c>
      <c r="D3" s="147"/>
      <c r="G3" s="147"/>
      <c r="J3" s="147"/>
    </row>
    <row r="4" spans="1:22" ht="15" customHeight="1">
      <c r="A4" s="30" t="s">
        <v>197</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340</v>
      </c>
      <c r="C6" s="32"/>
      <c r="D6" s="32"/>
      <c r="E6" s="30"/>
      <c r="G6" s="32"/>
      <c r="H6" s="30"/>
      <c r="J6" s="32"/>
    </row>
    <row r="7" spans="1:22" ht="15" customHeight="1">
      <c r="A7" s="31" t="s">
        <v>391</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29</v>
      </c>
      <c r="C9" s="39" t="str">
        <f>IF('Set-Up Worksheet'!E7="","Data Not Entered On Set-Up Worksheet",'Set-Up Worksheet'!E7)</f>
        <v>Data Not Entered On Set-Up Worksheet</v>
      </c>
      <c r="D9" s="39"/>
      <c r="F9" s="79" t="s">
        <v>449</v>
      </c>
      <c r="G9" s="39"/>
      <c r="J9" s="39"/>
    </row>
    <row r="10" spans="1:22" ht="15" customHeight="1">
      <c r="A10" s="30" t="s">
        <v>9</v>
      </c>
      <c r="C10" s="32" t="s">
        <v>10</v>
      </c>
      <c r="D10" s="32"/>
      <c r="F10" s="79"/>
      <c r="G10" s="32"/>
      <c r="J10" s="32"/>
    </row>
    <row r="11" spans="1:22" ht="15" customHeight="1">
      <c r="A11" s="30" t="s">
        <v>199</v>
      </c>
      <c r="C11" s="40" t="str">
        <f>IF(C4="Data Not Entered On Set-Up Worksheet","Data Not Entered On Set-Up Worksheet",IF(C4="1st Quarter",'Report Schedule'!D43,IF(C4="2nd Quarter",'Report Schedule'!E43,IF(C4="3rd Quarter",'Report Schedule'!F43,IF(C4="4th Quarter",'Report Schedule'!G43,"")))))</f>
        <v>Apr - Jun 2016</v>
      </c>
      <c r="D11" s="40"/>
      <c r="G11" s="40"/>
      <c r="J11" s="40"/>
    </row>
    <row r="12" spans="1:22" ht="15" customHeight="1" thickBot="1">
      <c r="A12" s="30"/>
      <c r="C12" s="40"/>
      <c r="D12" s="40"/>
      <c r="G12" s="40"/>
      <c r="J12" s="40"/>
    </row>
    <row r="13" spans="1:22" ht="18" customHeight="1" thickBot="1">
      <c r="A13" s="226" t="s">
        <v>330</v>
      </c>
      <c r="B13" s="384" t="s">
        <v>39</v>
      </c>
      <c r="C13" s="235"/>
      <c r="D13" s="236"/>
      <c r="E13" s="383" t="s">
        <v>244</v>
      </c>
      <c r="F13" s="231"/>
      <c r="G13" s="232"/>
      <c r="H13" s="384" t="s">
        <v>246</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43</v>
      </c>
      <c r="B15" s="242" t="s">
        <v>31</v>
      </c>
      <c r="C15" s="240" t="s">
        <v>30</v>
      </c>
      <c r="D15" s="241" t="s">
        <v>32</v>
      </c>
      <c r="E15" s="333" t="s">
        <v>31</v>
      </c>
      <c r="F15" s="67" t="s">
        <v>30</v>
      </c>
      <c r="G15" s="68" t="s">
        <v>32</v>
      </c>
      <c r="H15" s="335" t="s">
        <v>31</v>
      </c>
      <c r="I15" s="240" t="s">
        <v>30</v>
      </c>
      <c r="J15" s="241" t="s">
        <v>32</v>
      </c>
    </row>
    <row r="16" spans="1:22" ht="18" customHeight="1">
      <c r="A16" s="76" t="str">
        <f>IF($C$9="Data Not Entered On Set-Up Worksheet","",IF(OR(VLOOKUP($C$9,County_Lookup,2,FALSE)="",VLOOKUP($C$9,County_Lookup,2,FALSE)=0),"",VLOOKUP($C$9,County_Lookup,2,FALSE)))</f>
        <v/>
      </c>
      <c r="B16" s="222"/>
      <c r="C16" s="61"/>
      <c r="D16" s="87" t="str">
        <f t="shared" ref="D16:D40" si="0">IF($A16="","",IF($C16=0,0,B16/$C16))</f>
        <v/>
      </c>
      <c r="E16" s="69"/>
      <c r="F16" s="61"/>
      <c r="G16" s="87" t="str">
        <f t="shared" ref="G16:G40" si="1">IF($A16="","",IF($F16=0,0,E16/$F16))</f>
        <v/>
      </c>
      <c r="H16" s="69"/>
      <c r="I16" s="61"/>
      <c r="J16" s="87" t="str">
        <f t="shared" ref="J16:J40"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 si="3">IF($A38="","",IF($C38=0,0,B38/$C38))</f>
        <v/>
      </c>
      <c r="E38" s="69"/>
      <c r="F38" s="61"/>
      <c r="G38" s="87" t="str">
        <f t="shared" ref="G38" si="4">IF($A38="","",IF($F38=0,0,E38/$F38))</f>
        <v/>
      </c>
      <c r="H38" s="69"/>
      <c r="I38" s="61"/>
      <c r="J38" s="87" t="str">
        <f t="shared" ref="J38" si="5">IF($A38="","",IF($I38=0,0,H38/$I38))</f>
        <v/>
      </c>
    </row>
    <row r="39" spans="1:10" ht="18" customHeight="1">
      <c r="A39" s="77" t="str">
        <f>IF($C$9="Data Not Entered On Set-Up Worksheet","",IF(OR(VLOOKUP($C$9,County_Lookup,25,FALSE)="",VLOOKUP($C$9,County_Lookup,25,FALSE)=0),"",VLOOKUP($C$9,County_Lookup,25,FALSE)))</f>
        <v/>
      </c>
      <c r="B39" s="222"/>
      <c r="C39" s="61"/>
      <c r="D39" s="87" t="str">
        <f t="shared" si="0"/>
        <v/>
      </c>
      <c r="E39" s="69"/>
      <c r="F39" s="61"/>
      <c r="G39" s="87" t="str">
        <f t="shared" si="1"/>
        <v/>
      </c>
      <c r="H39" s="69"/>
      <c r="I39" s="61"/>
      <c r="J39" s="87" t="str">
        <f t="shared" si="2"/>
        <v/>
      </c>
    </row>
    <row r="40" spans="1:10" ht="18" customHeight="1" thickBot="1">
      <c r="A40" s="78" t="s">
        <v>0</v>
      </c>
      <c r="B40" s="223">
        <f t="shared" ref="B40" si="6">SUM(B16:B39)</f>
        <v>0</v>
      </c>
      <c r="C40" s="72">
        <f>SUM(C16:C39)</f>
        <v>0</v>
      </c>
      <c r="D40" s="53">
        <f t="shared" si="0"/>
        <v>0</v>
      </c>
      <c r="E40" s="334">
        <f t="shared" ref="E40" si="7">SUM(E16:E39)</f>
        <v>0</v>
      </c>
      <c r="F40" s="72">
        <f>SUM(F16:F39)</f>
        <v>0</v>
      </c>
      <c r="G40" s="53">
        <f t="shared" si="1"/>
        <v>0</v>
      </c>
      <c r="H40" s="334">
        <f t="shared" ref="H40" si="8">SUM(H16:H39)</f>
        <v>0</v>
      </c>
      <c r="I40" s="72">
        <f>SUM(I16:I39)</f>
        <v>0</v>
      </c>
      <c r="J40" s="53">
        <f t="shared" si="2"/>
        <v>0</v>
      </c>
    </row>
  </sheetData>
  <sheetProtection sheet="1" objects="1" scenarios="1"/>
  <conditionalFormatting sqref="C3:D4 C9:D9 C11:D12">
    <cfRule type="expression" dxfId="137" priority="13">
      <formula>C3="Data Not Entered On Set-Up Worksheet"</formula>
    </cfRule>
  </conditionalFormatting>
  <conditionalFormatting sqref="B16:C39 E16:F39 H16:I39">
    <cfRule type="expression" dxfId="136" priority="12">
      <formula>AND($A16&lt;&gt;"",B16="")</formula>
    </cfRule>
  </conditionalFormatting>
  <conditionalFormatting sqref="G3:G4 G9 G11:G12">
    <cfRule type="expression" dxfId="135" priority="11">
      <formula>G3="Data Not Entered On Set-Up Worksheet"</formula>
    </cfRule>
  </conditionalFormatting>
  <conditionalFormatting sqref="J3:J4 J9 J11:J12">
    <cfRule type="expression" dxfId="134" priority="9">
      <formula>J3="Data Not Entered On Set-Up Worksheet"</formula>
    </cfRule>
  </conditionalFormatting>
  <conditionalFormatting sqref="F9:F10">
    <cfRule type="expression" dxfId="133" priority="7">
      <formula>F9="Data Not Entered On Set-Up Worksheet"</formula>
    </cfRule>
  </conditionalFormatting>
  <conditionalFormatting sqref="B16:C39">
    <cfRule type="expression" dxfId="132" priority="1">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G34"/>
  <sheetViews>
    <sheetView showGridLines="0" workbookViewId="0">
      <selection activeCell="A17" sqref="A17"/>
    </sheetView>
  </sheetViews>
  <sheetFormatPr defaultRowHeight="12.75"/>
  <cols>
    <col min="1" max="1" width="30.7109375" style="22" customWidth="1"/>
    <col min="2" max="6" width="18.7109375" style="22" customWidth="1"/>
    <col min="7" max="16384" width="9.140625" style="22"/>
  </cols>
  <sheetData>
    <row r="1" spans="1:7" ht="15" customHeight="1">
      <c r="A1" s="36" t="s">
        <v>28</v>
      </c>
    </row>
    <row r="2" spans="1:7" ht="15" customHeight="1">
      <c r="A2" s="36" t="s">
        <v>198</v>
      </c>
    </row>
    <row r="3" spans="1:7" ht="15" customHeight="1">
      <c r="A3" s="30" t="s">
        <v>196</v>
      </c>
      <c r="C3" s="147">
        <f>IF('Set-Up Worksheet'!F3="","Data Not Entered On Set-Up Worksheet",'Set-Up Worksheet'!F3)</f>
        <v>2017</v>
      </c>
    </row>
    <row r="4" spans="1:7" ht="15" customHeight="1">
      <c r="A4" s="30" t="s">
        <v>197</v>
      </c>
      <c r="C4" s="147" t="str">
        <f>IF('Set-Up Worksheet'!F4="","Data Not Entered On Set-Up Worksheet",'Set-Up Worksheet'!F4)</f>
        <v>1st Quarter</v>
      </c>
    </row>
    <row r="5" spans="1:7" ht="15" customHeight="1">
      <c r="C5" s="32"/>
    </row>
    <row r="6" spans="1:7" ht="15" customHeight="1">
      <c r="A6" s="30" t="s">
        <v>151</v>
      </c>
      <c r="C6" s="32"/>
    </row>
    <row r="7" spans="1:7" ht="15" customHeight="1">
      <c r="A7" s="30" t="s">
        <v>152</v>
      </c>
      <c r="C7" s="32"/>
    </row>
    <row r="8" spans="1:7" ht="15" customHeight="1">
      <c r="A8" s="30"/>
      <c r="C8" s="32"/>
    </row>
    <row r="9" spans="1:7" ht="15" customHeight="1">
      <c r="A9" s="30" t="s">
        <v>29</v>
      </c>
      <c r="C9" s="39" t="str">
        <f>IF('Set-Up Worksheet'!E7="","Data Not Entered On Set-Up Worksheet",'Set-Up Worksheet'!E7)</f>
        <v>Data Not Entered On Set-Up Worksheet</v>
      </c>
    </row>
    <row r="10" spans="1:7" ht="15" customHeight="1">
      <c r="A10" s="30" t="s">
        <v>9</v>
      </c>
      <c r="C10" s="32" t="s">
        <v>10</v>
      </c>
    </row>
    <row r="11" spans="1:7" ht="15" customHeight="1">
      <c r="A11" s="30" t="s">
        <v>199</v>
      </c>
      <c r="C11" s="40" t="str">
        <f>IF(C4="Data Not Entered On Set-Up Worksheet","Data Not Entered On Set-Up Worksheet",IF(C4="1st Quarter",'Report Schedule'!D10,IF(C4="2nd Quarter",'Report Schedule'!E10,IF(C4="3rd Quarter",'Report Schedule'!F10,IF(C4="4th Quarter",'Report Schedule'!G10,"")))))</f>
        <v>Oct 2015 - Sep 2016</v>
      </c>
    </row>
    <row r="14" spans="1:7" ht="75.75" customHeight="1">
      <c r="A14" s="522" t="s">
        <v>419</v>
      </c>
      <c r="B14" s="522"/>
      <c r="C14" s="522"/>
      <c r="D14" s="522"/>
      <c r="E14" s="522"/>
      <c r="F14" s="522"/>
      <c r="G14" s="47"/>
    </row>
    <row r="15" spans="1:7">
      <c r="A15" s="47"/>
      <c r="B15" s="47"/>
      <c r="C15" s="47"/>
      <c r="D15" s="47"/>
      <c r="E15" s="47"/>
      <c r="F15" s="47"/>
      <c r="G15" s="47"/>
    </row>
    <row r="16" spans="1:7" ht="51.95" customHeight="1">
      <c r="A16" s="48" t="s">
        <v>200</v>
      </c>
      <c r="B16" s="51" t="s">
        <v>201</v>
      </c>
      <c r="C16" s="51" t="s">
        <v>264</v>
      </c>
      <c r="D16" s="51" t="s">
        <v>265</v>
      </c>
      <c r="E16" s="51" t="s">
        <v>202</v>
      </c>
      <c r="F16" s="51" t="s">
        <v>266</v>
      </c>
      <c r="G16" s="47"/>
    </row>
    <row r="17" spans="1:6" ht="18" customHeight="1">
      <c r="A17" s="196"/>
      <c r="B17" s="152" t="str">
        <f t="shared" ref="B17:B31" si="0">IF(A17="","",VLOOKUP(A17,SA_EBP_Lookup,2,FALSE))</f>
        <v/>
      </c>
      <c r="C17" s="193"/>
      <c r="D17" s="187"/>
      <c r="E17" s="187"/>
      <c r="F17" s="188"/>
    </row>
    <row r="18" spans="1:6" ht="18" customHeight="1">
      <c r="A18" s="197"/>
      <c r="B18" s="153" t="str">
        <f t="shared" si="0"/>
        <v/>
      </c>
      <c r="C18" s="194"/>
      <c r="D18" s="189"/>
      <c r="E18" s="189"/>
      <c r="F18" s="190"/>
    </row>
    <row r="19" spans="1:6" ht="18" customHeight="1">
      <c r="A19" s="198"/>
      <c r="B19" s="154" t="str">
        <f t="shared" si="0"/>
        <v/>
      </c>
      <c r="C19" s="194"/>
      <c r="D19" s="189"/>
      <c r="E19" s="189"/>
      <c r="F19" s="190"/>
    </row>
    <row r="20" spans="1:6" ht="18" customHeight="1">
      <c r="A20" s="198"/>
      <c r="B20" s="154" t="str">
        <f t="shared" si="0"/>
        <v/>
      </c>
      <c r="C20" s="194"/>
      <c r="D20" s="189"/>
      <c r="E20" s="189"/>
      <c r="F20" s="190"/>
    </row>
    <row r="21" spans="1:6" ht="18" customHeight="1">
      <c r="A21" s="198"/>
      <c r="B21" s="154" t="str">
        <f t="shared" si="0"/>
        <v/>
      </c>
      <c r="C21" s="194"/>
      <c r="D21" s="189"/>
      <c r="E21" s="189"/>
      <c r="F21" s="190"/>
    </row>
    <row r="22" spans="1:6" ht="18" customHeight="1">
      <c r="A22" s="198"/>
      <c r="B22" s="154" t="str">
        <f t="shared" si="0"/>
        <v/>
      </c>
      <c r="C22" s="194"/>
      <c r="D22" s="189"/>
      <c r="E22" s="189"/>
      <c r="F22" s="190"/>
    </row>
    <row r="23" spans="1:6" ht="18" customHeight="1">
      <c r="A23" s="198"/>
      <c r="B23" s="154" t="str">
        <f t="shared" si="0"/>
        <v/>
      </c>
      <c r="C23" s="194"/>
      <c r="D23" s="189"/>
      <c r="E23" s="189"/>
      <c r="F23" s="190"/>
    </row>
    <row r="24" spans="1:6" ht="18" customHeight="1">
      <c r="A24" s="198"/>
      <c r="B24" s="154" t="str">
        <f t="shared" si="0"/>
        <v/>
      </c>
      <c r="C24" s="194"/>
      <c r="D24" s="189"/>
      <c r="E24" s="189"/>
      <c r="F24" s="190"/>
    </row>
    <row r="25" spans="1:6" ht="18" customHeight="1">
      <c r="A25" s="198"/>
      <c r="B25" s="154" t="str">
        <f t="shared" si="0"/>
        <v/>
      </c>
      <c r="C25" s="194"/>
      <c r="D25" s="189"/>
      <c r="E25" s="189"/>
      <c r="F25" s="190"/>
    </row>
    <row r="26" spans="1:6" ht="18" customHeight="1">
      <c r="A26" s="198"/>
      <c r="B26" s="154" t="str">
        <f t="shared" si="0"/>
        <v/>
      </c>
      <c r="C26" s="194"/>
      <c r="D26" s="189"/>
      <c r="E26" s="189"/>
      <c r="F26" s="190"/>
    </row>
    <row r="27" spans="1:6" ht="18" customHeight="1">
      <c r="A27" s="198"/>
      <c r="B27" s="154" t="str">
        <f t="shared" si="0"/>
        <v/>
      </c>
      <c r="C27" s="194"/>
      <c r="D27" s="189"/>
      <c r="E27" s="189"/>
      <c r="F27" s="190"/>
    </row>
    <row r="28" spans="1:6" ht="18" customHeight="1">
      <c r="A28" s="198"/>
      <c r="B28" s="154" t="str">
        <f t="shared" si="0"/>
        <v/>
      </c>
      <c r="C28" s="194"/>
      <c r="D28" s="189"/>
      <c r="E28" s="189"/>
      <c r="F28" s="190"/>
    </row>
    <row r="29" spans="1:6" ht="18" customHeight="1">
      <c r="A29" s="198"/>
      <c r="B29" s="154" t="str">
        <f t="shared" si="0"/>
        <v/>
      </c>
      <c r="C29" s="194"/>
      <c r="D29" s="189"/>
      <c r="E29" s="189"/>
      <c r="F29" s="190"/>
    </row>
    <row r="30" spans="1:6" ht="18" customHeight="1">
      <c r="A30" s="198"/>
      <c r="B30" s="154" t="str">
        <f t="shared" si="0"/>
        <v/>
      </c>
      <c r="C30" s="194"/>
      <c r="D30" s="189"/>
      <c r="E30" s="189"/>
      <c r="F30" s="190"/>
    </row>
    <row r="31" spans="1:6" ht="18" customHeight="1">
      <c r="A31" s="199"/>
      <c r="B31" s="155" t="str">
        <f t="shared" si="0"/>
        <v/>
      </c>
      <c r="C31" s="195"/>
      <c r="D31" s="191"/>
      <c r="E31" s="191"/>
      <c r="F31" s="192"/>
    </row>
    <row r="32" spans="1:6" ht="20.100000000000001" customHeight="1">
      <c r="A32" s="227" t="s">
        <v>0</v>
      </c>
      <c r="B32" s="228"/>
      <c r="C32" s="229">
        <f>SUM(C17:C31)</f>
        <v>0</v>
      </c>
      <c r="D32" s="229">
        <f>IF($C$9="Data Not Entered On Set-Up Worksheet",0,IF($C$3=2014,VLOOKUP($C$9,SA_Prevention_Pop_2014,4,FALSE),IF($C$3=2015,VLOOKUP($C$9,SA_Prevention_Pop_2015,4,FALSE),IF($C$3=2016,VLOOKUP($C$9,SA_Prevention_Pop_2016,4,FALSE),"Update Lookup"))))</f>
        <v>0</v>
      </c>
      <c r="E32" s="229">
        <f>IF($C$9="Data Not Entered On Set-Up Worksheet",0,IF($C$3=2014,VLOOKUP($C$9,SA_Prevention_Pop_2014,7,FALSE),IF($C$3=2015,VLOOKUP($C$9,SA_Prevention_Pop_2015,7,FALSE),IF($C$3=2016,VLOOKUP($C$9,SA_Prevention_Pop_2016,7,FALSE),"Update Lookup"))))</f>
        <v>0</v>
      </c>
      <c r="F32" s="230">
        <f>IF(E32=0,0,C32/E32)</f>
        <v>0</v>
      </c>
    </row>
    <row r="34" spans="1:1">
      <c r="A34" s="22" t="s">
        <v>420</v>
      </c>
    </row>
  </sheetData>
  <sheetProtection sheet="1" objects="1" scenarios="1"/>
  <mergeCells count="1">
    <mergeCell ref="A14:F14"/>
  </mergeCells>
  <conditionalFormatting sqref="C3:C4">
    <cfRule type="expression" dxfId="551" priority="6">
      <formula>C3="Data Not Entered On Set-Up Worksheet"</formula>
    </cfRule>
  </conditionalFormatting>
  <conditionalFormatting sqref="C9">
    <cfRule type="expression" dxfId="550" priority="5">
      <formula>C9="Data Not Entered On Set-Up Worksheet"</formula>
    </cfRule>
  </conditionalFormatting>
  <conditionalFormatting sqref="C11">
    <cfRule type="expression" dxfId="549" priority="4">
      <formula>C11="Data Not Entered On Set-Up Worksheet"</formula>
    </cfRule>
  </conditionalFormatting>
  <conditionalFormatting sqref="C17:C31">
    <cfRule type="expression" dxfId="548" priority="3">
      <formula>AND(A17&lt;&gt;"",C17="")</formula>
    </cfRule>
  </conditionalFormatting>
  <conditionalFormatting sqref="B17:B31">
    <cfRule type="cellIs" dxfId="547" priority="2" operator="equal">
      <formula>""</formula>
    </cfRule>
  </conditionalFormatting>
  <conditionalFormatting sqref="A17:A31">
    <cfRule type="expression" dxfId="546" priority="1">
      <formula>AND(A17="",C17&lt;&gt;"")</formula>
    </cfRule>
  </conditionalFormatting>
  <dataValidations count="1">
    <dataValidation type="list" allowBlank="1" showInputMessage="1" showErrorMessage="1" prompt="Select the Evidence-Based SA Prevention Program from the drop-down list." sqref="A17:A31">
      <formula1>SA_EBP</formula1>
    </dataValidation>
  </dataValidations>
  <pageMargins left="0.5" right="0.5" top="0.5" bottom="0.5" header="0.3" footer="0.3"/>
  <pageSetup scale="86" orientation="landscape" r:id="rId1"/>
  <headerFooter>
    <oddFooter>&amp;LNC DHHS LME-MCO Performance Measures Report Part II DMH/DD/SAS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28</v>
      </c>
      <c r="E1" s="30"/>
      <c r="H1" s="30"/>
    </row>
    <row r="2" spans="1:22" ht="15" customHeight="1">
      <c r="A2" s="36" t="s">
        <v>198</v>
      </c>
      <c r="E2" s="321"/>
      <c r="H2" s="321"/>
    </row>
    <row r="3" spans="1:22" ht="15" customHeight="1">
      <c r="A3" s="30" t="s">
        <v>196</v>
      </c>
      <c r="C3" s="147">
        <f>IF('Set-Up Worksheet'!F3="","Data Not Entered On Set-Up Worksheet",'Set-Up Worksheet'!F3)</f>
        <v>2017</v>
      </c>
      <c r="D3" s="147"/>
      <c r="G3" s="147"/>
      <c r="J3" s="147"/>
    </row>
    <row r="4" spans="1:22" ht="15" customHeight="1">
      <c r="A4" s="30" t="s">
        <v>197</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340</v>
      </c>
      <c r="C6" s="32"/>
      <c r="D6" s="32"/>
      <c r="E6" s="30"/>
      <c r="G6" s="32"/>
      <c r="H6" s="30"/>
      <c r="J6" s="32"/>
    </row>
    <row r="7" spans="1:22" ht="15" customHeight="1">
      <c r="A7" s="31" t="s">
        <v>392</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29</v>
      </c>
      <c r="C9" s="39" t="str">
        <f>IF('Set-Up Worksheet'!E7="","Data Not Entered On Set-Up Worksheet",'Set-Up Worksheet'!E7)</f>
        <v>Data Not Entered On Set-Up Worksheet</v>
      </c>
      <c r="D9" s="39"/>
      <c r="F9" s="79" t="s">
        <v>449</v>
      </c>
      <c r="G9" s="39"/>
      <c r="J9" s="39"/>
    </row>
    <row r="10" spans="1:22" ht="15" customHeight="1">
      <c r="A10" s="30" t="s">
        <v>9</v>
      </c>
      <c r="C10" s="32" t="s">
        <v>10</v>
      </c>
      <c r="D10" s="32"/>
      <c r="F10" s="79"/>
      <c r="G10" s="32"/>
      <c r="J10" s="32"/>
    </row>
    <row r="11" spans="1:22" ht="15" customHeight="1">
      <c r="A11" s="30" t="s">
        <v>199</v>
      </c>
      <c r="C11" s="40" t="str">
        <f>IF(C4="Data Not Entered On Set-Up Worksheet","Data Not Entered On Set-Up Worksheet",IF(C4="1st Quarter",'Report Schedule'!D43,IF(C4="2nd Quarter",'Report Schedule'!E43,IF(C4="3rd Quarter",'Report Schedule'!F43,IF(C4="4th Quarter",'Report Schedule'!G43,"")))))</f>
        <v>Apr - Jun 2016</v>
      </c>
      <c r="D11" s="40"/>
      <c r="G11" s="40"/>
      <c r="J11" s="40"/>
    </row>
    <row r="12" spans="1:22" ht="15" customHeight="1" thickBot="1">
      <c r="A12" s="30"/>
      <c r="C12" s="40"/>
      <c r="D12" s="40"/>
      <c r="G12" s="40"/>
      <c r="J12" s="40"/>
    </row>
    <row r="13" spans="1:22" ht="18" customHeight="1" thickBot="1">
      <c r="A13" s="226" t="s">
        <v>330</v>
      </c>
      <c r="B13" s="384" t="s">
        <v>39</v>
      </c>
      <c r="C13" s="235"/>
      <c r="D13" s="236"/>
      <c r="E13" s="383" t="s">
        <v>244</v>
      </c>
      <c r="F13" s="231"/>
      <c r="G13" s="232"/>
      <c r="H13" s="384" t="s">
        <v>246</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43</v>
      </c>
      <c r="B15" s="242" t="s">
        <v>31</v>
      </c>
      <c r="C15" s="240" t="s">
        <v>30</v>
      </c>
      <c r="D15" s="241" t="s">
        <v>32</v>
      </c>
      <c r="E15" s="333" t="s">
        <v>31</v>
      </c>
      <c r="F15" s="67" t="s">
        <v>30</v>
      </c>
      <c r="G15" s="68" t="s">
        <v>32</v>
      </c>
      <c r="H15" s="335" t="s">
        <v>31</v>
      </c>
      <c r="I15" s="240" t="s">
        <v>30</v>
      </c>
      <c r="J15" s="241" t="s">
        <v>32</v>
      </c>
    </row>
    <row r="16" spans="1:22" ht="18" customHeight="1">
      <c r="A16" s="76" t="str">
        <f>IF($C$9="Data Not Entered On Set-Up Worksheet","",IF(OR(VLOOKUP($C$9,County_Lookup,2,FALSE)="",VLOOKUP($C$9,County_Lookup,2,FALSE)=0),"",VLOOKUP($C$9,County_Lookup,2,FALSE)))</f>
        <v/>
      </c>
      <c r="B16" s="222"/>
      <c r="C16" s="61"/>
      <c r="D16" s="87" t="str">
        <f t="shared" ref="D16:D40" si="0">IF($A16="","",IF($C16=0,0,B16/$C16))</f>
        <v/>
      </c>
      <c r="E16" s="69"/>
      <c r="F16" s="61"/>
      <c r="G16" s="87" t="str">
        <f t="shared" ref="G16:G40" si="1">IF($A16="","",IF($F16=0,0,E16/$F16))</f>
        <v/>
      </c>
      <c r="H16" s="69"/>
      <c r="I16" s="61"/>
      <c r="J16" s="87" t="str">
        <f t="shared" ref="J16:J40"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 si="3">IF($A38="","",IF($C38=0,0,B38/$C38))</f>
        <v/>
      </c>
      <c r="E38" s="69"/>
      <c r="F38" s="61"/>
      <c r="G38" s="87" t="str">
        <f t="shared" ref="G38" si="4">IF($A38="","",IF($F38=0,0,E38/$F38))</f>
        <v/>
      </c>
      <c r="H38" s="69"/>
      <c r="I38" s="61"/>
      <c r="J38" s="87" t="str">
        <f t="shared" ref="J38" si="5">IF($A38="","",IF($I38=0,0,H38/$I38))</f>
        <v/>
      </c>
    </row>
    <row r="39" spans="1:10" ht="18" customHeight="1">
      <c r="A39" s="77" t="str">
        <f>IF($C$9="Data Not Entered On Set-Up Worksheet","",IF(OR(VLOOKUP($C$9,County_Lookup,25,FALSE)="",VLOOKUP($C$9,County_Lookup,25,FALSE)=0),"",VLOOKUP($C$9,County_Lookup,25,FALSE)))</f>
        <v/>
      </c>
      <c r="B39" s="222"/>
      <c r="C39" s="61"/>
      <c r="D39" s="87" t="str">
        <f t="shared" si="0"/>
        <v/>
      </c>
      <c r="E39" s="69"/>
      <c r="F39" s="61"/>
      <c r="G39" s="87" t="str">
        <f t="shared" si="1"/>
        <v/>
      </c>
      <c r="H39" s="69"/>
      <c r="I39" s="61"/>
      <c r="J39" s="87" t="str">
        <f t="shared" si="2"/>
        <v/>
      </c>
    </row>
    <row r="40" spans="1:10" ht="18" customHeight="1" thickBot="1">
      <c r="A40" s="78" t="s">
        <v>0</v>
      </c>
      <c r="B40" s="223">
        <f t="shared" ref="B40" si="6">SUM(B16:B39)</f>
        <v>0</v>
      </c>
      <c r="C40" s="72">
        <f>SUM(C16:C39)</f>
        <v>0</v>
      </c>
      <c r="D40" s="53">
        <f t="shared" si="0"/>
        <v>0</v>
      </c>
      <c r="E40" s="334">
        <f t="shared" ref="E40" si="7">SUM(E16:E39)</f>
        <v>0</v>
      </c>
      <c r="F40" s="72">
        <f>SUM(F16:F39)</f>
        <v>0</v>
      </c>
      <c r="G40" s="53">
        <f t="shared" si="1"/>
        <v>0</v>
      </c>
      <c r="H40" s="334">
        <f t="shared" ref="H40" si="8">SUM(H16:H39)</f>
        <v>0</v>
      </c>
      <c r="I40" s="72">
        <f>SUM(I16:I39)</f>
        <v>0</v>
      </c>
      <c r="J40" s="53">
        <f t="shared" si="2"/>
        <v>0</v>
      </c>
    </row>
  </sheetData>
  <sheetProtection sheet="1" objects="1" scenarios="1"/>
  <conditionalFormatting sqref="C3:D4 C9:D9 C11:D12">
    <cfRule type="expression" dxfId="131" priority="13">
      <formula>C3="Data Not Entered On Set-Up Worksheet"</formula>
    </cfRule>
  </conditionalFormatting>
  <conditionalFormatting sqref="B16:C39 E16:F39 H16:I39">
    <cfRule type="expression" dxfId="130" priority="12">
      <formula>AND($A16&lt;&gt;"",B16="")</formula>
    </cfRule>
  </conditionalFormatting>
  <conditionalFormatting sqref="G3:G4 G9 G11:G12">
    <cfRule type="expression" dxfId="129" priority="11">
      <formula>G3="Data Not Entered On Set-Up Worksheet"</formula>
    </cfRule>
  </conditionalFormatting>
  <conditionalFormatting sqref="J3:J4 J9 J11:J12">
    <cfRule type="expression" dxfId="128" priority="9">
      <formula>J3="Data Not Entered On Set-Up Worksheet"</formula>
    </cfRule>
  </conditionalFormatting>
  <conditionalFormatting sqref="F9:F10">
    <cfRule type="expression" dxfId="127" priority="7">
      <formula>F9="Data Not Entered On Set-Up Worksheet"</formula>
    </cfRule>
  </conditionalFormatting>
  <conditionalFormatting sqref="B16:C39">
    <cfRule type="expression" dxfId="126" priority="1">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28</v>
      </c>
      <c r="E1" s="30"/>
      <c r="H1" s="30"/>
    </row>
    <row r="2" spans="1:22" ht="15" customHeight="1">
      <c r="A2" s="36" t="s">
        <v>198</v>
      </c>
      <c r="E2" s="321"/>
      <c r="H2" s="321"/>
    </row>
    <row r="3" spans="1:22" ht="15" customHeight="1">
      <c r="A3" s="30" t="s">
        <v>196</v>
      </c>
      <c r="C3" s="147">
        <f>IF('Set-Up Worksheet'!F3="","Data Not Entered On Set-Up Worksheet",'Set-Up Worksheet'!F3)</f>
        <v>2017</v>
      </c>
      <c r="D3" s="147"/>
      <c r="G3" s="147"/>
      <c r="J3" s="147"/>
    </row>
    <row r="4" spans="1:22" ht="15" customHeight="1">
      <c r="A4" s="30" t="s">
        <v>197</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340</v>
      </c>
      <c r="C6" s="32"/>
      <c r="D6" s="32"/>
      <c r="E6" s="30"/>
      <c r="G6" s="32"/>
      <c r="H6" s="30"/>
      <c r="J6" s="32"/>
    </row>
    <row r="7" spans="1:22" ht="15" customHeight="1">
      <c r="A7" s="31" t="s">
        <v>393</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29</v>
      </c>
      <c r="C9" s="39" t="str">
        <f>IF('Set-Up Worksheet'!E7="","Data Not Entered On Set-Up Worksheet",'Set-Up Worksheet'!E7)</f>
        <v>Data Not Entered On Set-Up Worksheet</v>
      </c>
      <c r="D9" s="39"/>
      <c r="F9" s="79" t="s">
        <v>449</v>
      </c>
      <c r="G9" s="39"/>
      <c r="J9" s="39"/>
    </row>
    <row r="10" spans="1:22" ht="15" customHeight="1">
      <c r="A10" s="30" t="s">
        <v>9</v>
      </c>
      <c r="C10" s="32" t="s">
        <v>10</v>
      </c>
      <c r="D10" s="32"/>
      <c r="F10" s="79"/>
      <c r="G10" s="32"/>
      <c r="J10" s="32"/>
    </row>
    <row r="11" spans="1:22" ht="15" customHeight="1">
      <c r="A11" s="30" t="s">
        <v>199</v>
      </c>
      <c r="C11" s="40" t="str">
        <f>IF(C4="Data Not Entered On Set-Up Worksheet","Data Not Entered On Set-Up Worksheet",IF(C4="1st Quarter",'Report Schedule'!D43,IF(C4="2nd Quarter",'Report Schedule'!E43,IF(C4="3rd Quarter",'Report Schedule'!F43,IF(C4="4th Quarter",'Report Schedule'!G43,"")))))</f>
        <v>Apr - Jun 2016</v>
      </c>
      <c r="D11" s="40"/>
      <c r="G11" s="40"/>
      <c r="J11" s="40"/>
    </row>
    <row r="12" spans="1:22" ht="15" customHeight="1" thickBot="1">
      <c r="A12" s="30"/>
      <c r="C12" s="40"/>
      <c r="D12" s="40"/>
      <c r="G12" s="40"/>
      <c r="J12" s="40"/>
    </row>
    <row r="13" spans="1:22" ht="18" customHeight="1" thickBot="1">
      <c r="A13" s="226" t="s">
        <v>330</v>
      </c>
      <c r="B13" s="384" t="s">
        <v>39</v>
      </c>
      <c r="C13" s="235"/>
      <c r="D13" s="236"/>
      <c r="E13" s="383" t="s">
        <v>244</v>
      </c>
      <c r="F13" s="231"/>
      <c r="G13" s="232"/>
      <c r="H13" s="384" t="s">
        <v>246</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43</v>
      </c>
      <c r="B15" s="242" t="s">
        <v>31</v>
      </c>
      <c r="C15" s="240" t="s">
        <v>30</v>
      </c>
      <c r="D15" s="241" t="s">
        <v>32</v>
      </c>
      <c r="E15" s="333" t="s">
        <v>31</v>
      </c>
      <c r="F15" s="67" t="s">
        <v>30</v>
      </c>
      <c r="G15" s="68" t="s">
        <v>32</v>
      </c>
      <c r="H15" s="335" t="s">
        <v>31</v>
      </c>
      <c r="I15" s="240" t="s">
        <v>30</v>
      </c>
      <c r="J15" s="241" t="s">
        <v>32</v>
      </c>
    </row>
    <row r="16" spans="1:22" ht="18" customHeight="1">
      <c r="A16" s="76" t="str">
        <f>IF($C$9="Data Not Entered On Set-Up Worksheet","",IF(OR(VLOOKUP($C$9,County_Lookup,2,FALSE)="",VLOOKUP($C$9,County_Lookup,2,FALSE)=0),"",VLOOKUP($C$9,County_Lookup,2,FALSE)))</f>
        <v/>
      </c>
      <c r="B16" s="222"/>
      <c r="C16" s="61"/>
      <c r="D16" s="87" t="str">
        <f t="shared" ref="D16:D40" si="0">IF($A16="","",IF($C16=0,0,B16/$C16))</f>
        <v/>
      </c>
      <c r="E16" s="69"/>
      <c r="F16" s="61"/>
      <c r="G16" s="87" t="str">
        <f t="shared" ref="G16:G40" si="1">IF($A16="","",IF($F16=0,0,E16/$F16))</f>
        <v/>
      </c>
      <c r="H16" s="69"/>
      <c r="I16" s="61"/>
      <c r="J16" s="87" t="str">
        <f t="shared" ref="J16:J40"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 si="3">IF($A38="","",IF($C38=0,0,B38/$C38))</f>
        <v/>
      </c>
      <c r="E38" s="69"/>
      <c r="F38" s="61"/>
      <c r="G38" s="87" t="str">
        <f t="shared" ref="G38" si="4">IF($A38="","",IF($F38=0,0,E38/$F38))</f>
        <v/>
      </c>
      <c r="H38" s="69"/>
      <c r="I38" s="61"/>
      <c r="J38" s="87" t="str">
        <f t="shared" ref="J38" si="5">IF($A38="","",IF($I38=0,0,H38/$I38))</f>
        <v/>
      </c>
    </row>
    <row r="39" spans="1:10" ht="18" customHeight="1">
      <c r="A39" s="77" t="str">
        <f>IF($C$9="Data Not Entered On Set-Up Worksheet","",IF(OR(VLOOKUP($C$9,County_Lookup,25,FALSE)="",VLOOKUP($C$9,County_Lookup,25,FALSE)=0),"",VLOOKUP($C$9,County_Lookup,25,FALSE)))</f>
        <v/>
      </c>
      <c r="B39" s="222"/>
      <c r="C39" s="61"/>
      <c r="D39" s="87" t="str">
        <f t="shared" si="0"/>
        <v/>
      </c>
      <c r="E39" s="69"/>
      <c r="F39" s="61"/>
      <c r="G39" s="87" t="str">
        <f t="shared" si="1"/>
        <v/>
      </c>
      <c r="H39" s="69"/>
      <c r="I39" s="61"/>
      <c r="J39" s="87" t="str">
        <f t="shared" si="2"/>
        <v/>
      </c>
    </row>
    <row r="40" spans="1:10" ht="18" customHeight="1" thickBot="1">
      <c r="A40" s="78" t="s">
        <v>0</v>
      </c>
      <c r="B40" s="223">
        <f t="shared" ref="B40" si="6">SUM(B16:B39)</f>
        <v>0</v>
      </c>
      <c r="C40" s="72">
        <f>SUM(C16:C39)</f>
        <v>0</v>
      </c>
      <c r="D40" s="53">
        <f t="shared" si="0"/>
        <v>0</v>
      </c>
      <c r="E40" s="334">
        <f t="shared" ref="E40" si="7">SUM(E16:E39)</f>
        <v>0</v>
      </c>
      <c r="F40" s="72">
        <f>SUM(F16:F39)</f>
        <v>0</v>
      </c>
      <c r="G40" s="53">
        <f t="shared" si="1"/>
        <v>0</v>
      </c>
      <c r="H40" s="334">
        <f t="shared" ref="H40" si="8">SUM(H16:H39)</f>
        <v>0</v>
      </c>
      <c r="I40" s="72">
        <f>SUM(I16:I39)</f>
        <v>0</v>
      </c>
      <c r="J40" s="53">
        <f t="shared" si="2"/>
        <v>0</v>
      </c>
    </row>
  </sheetData>
  <sheetProtection sheet="1" objects="1" scenarios="1"/>
  <conditionalFormatting sqref="C3:D4 C9:D9 C11:D12">
    <cfRule type="expression" dxfId="125" priority="13">
      <formula>C3="Data Not Entered On Set-Up Worksheet"</formula>
    </cfRule>
  </conditionalFormatting>
  <conditionalFormatting sqref="B16:C39 E16:F39 H16:I39">
    <cfRule type="expression" dxfId="124" priority="12">
      <formula>AND($A16&lt;&gt;"",B16="")</formula>
    </cfRule>
  </conditionalFormatting>
  <conditionalFormatting sqref="G3:G4 G9 G11:G12">
    <cfRule type="expression" dxfId="123" priority="11">
      <formula>G3="Data Not Entered On Set-Up Worksheet"</formula>
    </cfRule>
  </conditionalFormatting>
  <conditionalFormatting sqref="J3:J4 J9 J11:J12">
    <cfRule type="expression" dxfId="122" priority="9">
      <formula>J3="Data Not Entered On Set-Up Worksheet"</formula>
    </cfRule>
  </conditionalFormatting>
  <conditionalFormatting sqref="F9:F10">
    <cfRule type="expression" dxfId="121" priority="7">
      <formula>F9="Data Not Entered On Set-Up Worksheet"</formula>
    </cfRule>
  </conditionalFormatting>
  <conditionalFormatting sqref="B16:C39">
    <cfRule type="expression" dxfId="120" priority="1">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16"/>
  <sheetViews>
    <sheetView showGridLines="0" workbookViewId="0">
      <selection activeCell="E7" sqref="E7"/>
    </sheetView>
  </sheetViews>
  <sheetFormatPr defaultRowHeight="12.75"/>
  <cols>
    <col min="1" max="1" width="22.42578125" style="22" customWidth="1"/>
    <col min="2" max="2" width="9.140625" style="22"/>
    <col min="3" max="3" width="20" style="22" customWidth="1"/>
    <col min="4" max="4" width="15.7109375" style="22" customWidth="1"/>
    <col min="5" max="5" width="21" style="22" bestFit="1" customWidth="1"/>
    <col min="6" max="7" width="20.7109375" style="22" customWidth="1"/>
    <col min="8" max="16384" width="9.140625" style="22"/>
  </cols>
  <sheetData>
    <row r="1" spans="1:8" ht="15" customHeight="1">
      <c r="A1" s="36" t="s">
        <v>28</v>
      </c>
    </row>
    <row r="2" spans="1:8" ht="15" customHeight="1">
      <c r="A2" s="36" t="s">
        <v>198</v>
      </c>
    </row>
    <row r="3" spans="1:8" ht="15" customHeight="1">
      <c r="A3" s="30" t="s">
        <v>196</v>
      </c>
      <c r="C3" s="147">
        <f>IF('Set-Up Worksheet'!F3="","Data Not Entered On Set-Up Worksheet",'Set-Up Worksheet'!F3)</f>
        <v>2017</v>
      </c>
    </row>
    <row r="4" spans="1:8" ht="15" customHeight="1">
      <c r="A4" s="30" t="s">
        <v>197</v>
      </c>
      <c r="C4" s="147" t="str">
        <f>IF('Set-Up Worksheet'!F4="","Data Not Entered On Set-Up Worksheet",'Set-Up Worksheet'!F4)</f>
        <v>1st Quarter</v>
      </c>
    </row>
    <row r="5" spans="1:8" ht="15" customHeight="1">
      <c r="C5" s="32"/>
    </row>
    <row r="6" spans="1:8" ht="15" customHeight="1">
      <c r="A6" s="30" t="s">
        <v>340</v>
      </c>
      <c r="C6" s="32"/>
    </row>
    <row r="7" spans="1:8" ht="15" customHeight="1">
      <c r="A7" s="30" t="s">
        <v>394</v>
      </c>
      <c r="C7" s="32"/>
    </row>
    <row r="8" spans="1:8" ht="15" customHeight="1">
      <c r="A8" s="30"/>
      <c r="C8" s="32"/>
    </row>
    <row r="9" spans="1:8" ht="15" customHeight="1">
      <c r="A9" s="30" t="s">
        <v>29</v>
      </c>
      <c r="C9" s="39" t="str">
        <f>IF('Set-Up Worksheet'!E7="","Data Not Entered On Set-Up Worksheet",'Set-Up Worksheet'!E7)</f>
        <v>Data Not Entered On Set-Up Worksheet</v>
      </c>
    </row>
    <row r="10" spans="1:8" ht="15" customHeight="1">
      <c r="A10" s="30" t="s">
        <v>9</v>
      </c>
      <c r="C10" s="32" t="s">
        <v>10</v>
      </c>
    </row>
    <row r="11" spans="1:8" ht="15" customHeight="1">
      <c r="A11" s="30" t="s">
        <v>199</v>
      </c>
      <c r="C11" s="54" t="s">
        <v>388</v>
      </c>
      <c r="D11" s="40" t="str">
        <f>IF(C4="Data Not Entered On Set-Up Worksheet","Data Not Entered On Set-Up Worksheet",IF(C4="1st Quarter",'Report Schedule'!D37,IF(C4="2nd Quarter",'Report Schedule'!E37,IF(C4="3rd Quarter",'Report Schedule'!F37,IF(C4="4th Quarter",'Report Schedule'!G37,"")))))</f>
        <v>Apr - Jun 2016</v>
      </c>
      <c r="E11" s="54" t="s">
        <v>389</v>
      </c>
      <c r="F11" s="22" t="str">
        <f>IF(C4="Data Not Entered On Set-Up Worksheet","Data Not Entered On Set-Up Worksheet",IF(C4="1st Quarter",'Report Schedule'!D40,IF(C4="2nd Quarter",'Report Schedule'!E40,IF(C4="3rd Quarter",'Report Schedule'!F40,IF(C4="4th Quarter",'Report Schedule'!G40,"")))))</f>
        <v>Jan - Mar 2016</v>
      </c>
    </row>
    <row r="14" spans="1:8" ht="112.5" customHeight="1">
      <c r="A14" s="522" t="s">
        <v>395</v>
      </c>
      <c r="B14" s="522"/>
      <c r="C14" s="522"/>
      <c r="D14" s="522"/>
      <c r="E14" s="522"/>
      <c r="F14" s="522"/>
      <c r="G14" s="522"/>
      <c r="H14" s="47"/>
    </row>
    <row r="15" spans="1:8">
      <c r="A15" s="47"/>
      <c r="B15" s="47"/>
      <c r="C15" s="47"/>
      <c r="D15" s="47"/>
      <c r="E15" s="47"/>
      <c r="F15" s="47"/>
      <c r="G15" s="47"/>
      <c r="H15" s="47"/>
    </row>
    <row r="16" spans="1:8">
      <c r="A16" s="47"/>
      <c r="B16" s="47"/>
      <c r="C16" s="47"/>
      <c r="D16" s="47"/>
      <c r="E16" s="47"/>
      <c r="F16" s="47"/>
      <c r="G16" s="47"/>
      <c r="H16" s="47"/>
    </row>
  </sheetData>
  <sheetProtection sheet="1" objects="1" scenarios="1"/>
  <mergeCells count="1">
    <mergeCell ref="A14:G14"/>
  </mergeCells>
  <conditionalFormatting sqref="C3:C4">
    <cfRule type="expression" dxfId="119" priority="3">
      <formula>C3="Data Not Entered On Set-Up Worksheet"</formula>
    </cfRule>
  </conditionalFormatting>
  <conditionalFormatting sqref="C9">
    <cfRule type="expression" dxfId="118" priority="2">
      <formula>C9="Data Not Entered On Set-Up Worksheet"</formula>
    </cfRule>
  </conditionalFormatting>
  <conditionalFormatting sqref="D11">
    <cfRule type="expression" dxfId="117"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28</v>
      </c>
      <c r="E1" s="30"/>
      <c r="H1" s="30"/>
    </row>
    <row r="2" spans="1:22" ht="15" customHeight="1">
      <c r="A2" s="36" t="s">
        <v>198</v>
      </c>
      <c r="E2" s="321"/>
      <c r="H2" s="321"/>
    </row>
    <row r="3" spans="1:22" ht="15" customHeight="1">
      <c r="A3" s="30" t="s">
        <v>196</v>
      </c>
      <c r="C3" s="147">
        <f>IF('Set-Up Worksheet'!F3="","Data Not Entered On Set-Up Worksheet",'Set-Up Worksheet'!F3)</f>
        <v>2017</v>
      </c>
      <c r="D3" s="147"/>
      <c r="G3" s="147"/>
      <c r="J3" s="147"/>
    </row>
    <row r="4" spans="1:22" ht="15" customHeight="1">
      <c r="A4" s="30" t="s">
        <v>197</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340</v>
      </c>
      <c r="C6" s="32"/>
      <c r="D6" s="32"/>
      <c r="E6" s="30"/>
      <c r="G6" s="32"/>
      <c r="H6" s="30"/>
      <c r="J6" s="32"/>
    </row>
    <row r="7" spans="1:22" ht="15" customHeight="1">
      <c r="A7" s="31" t="s">
        <v>396</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29</v>
      </c>
      <c r="C9" s="39" t="str">
        <f>IF('Set-Up Worksheet'!E7="","Data Not Entered On Set-Up Worksheet",'Set-Up Worksheet'!E7)</f>
        <v>Data Not Entered On Set-Up Worksheet</v>
      </c>
      <c r="D9" s="39"/>
      <c r="F9" s="79" t="s">
        <v>449</v>
      </c>
      <c r="G9" s="39"/>
      <c r="J9" s="39"/>
    </row>
    <row r="10" spans="1:22" ht="15" customHeight="1">
      <c r="A10" s="30" t="s">
        <v>9</v>
      </c>
      <c r="C10" s="32" t="s">
        <v>10</v>
      </c>
      <c r="D10" s="32"/>
      <c r="F10" s="79"/>
      <c r="G10" s="32"/>
      <c r="J10" s="32"/>
    </row>
    <row r="11" spans="1:22" ht="15" customHeight="1">
      <c r="A11" s="30" t="s">
        <v>199</v>
      </c>
      <c r="C11" s="40" t="str">
        <f>IF(C4="Data Not Entered On Set-Up Worksheet","Data Not Entered On Set-Up Worksheet",IF(C4="1st Quarter",'Report Schedule'!D43,IF(C4="2nd Quarter",'Report Schedule'!E43,IF(C4="3rd Quarter",'Report Schedule'!F43,IF(C4="4th Quarter",'Report Schedule'!G43,"")))))</f>
        <v>Apr - Jun 2016</v>
      </c>
      <c r="D11" s="40"/>
      <c r="G11" s="40"/>
      <c r="J11" s="40"/>
    </row>
    <row r="12" spans="1:22" ht="15" customHeight="1" thickBot="1">
      <c r="A12" s="30"/>
      <c r="C12" s="40"/>
      <c r="D12" s="40"/>
      <c r="G12" s="40"/>
      <c r="J12" s="40"/>
    </row>
    <row r="13" spans="1:22" ht="18" customHeight="1" thickBot="1">
      <c r="A13" s="226" t="s">
        <v>330</v>
      </c>
      <c r="B13" s="384" t="s">
        <v>39</v>
      </c>
      <c r="C13" s="235"/>
      <c r="D13" s="236"/>
      <c r="E13" s="383" t="s">
        <v>244</v>
      </c>
      <c r="F13" s="231"/>
      <c r="G13" s="232"/>
      <c r="H13" s="384" t="s">
        <v>246</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43</v>
      </c>
      <c r="B15" s="242" t="s">
        <v>31</v>
      </c>
      <c r="C15" s="240" t="s">
        <v>30</v>
      </c>
      <c r="D15" s="241" t="s">
        <v>32</v>
      </c>
      <c r="E15" s="333" t="s">
        <v>31</v>
      </c>
      <c r="F15" s="67" t="s">
        <v>30</v>
      </c>
      <c r="G15" s="68" t="s">
        <v>32</v>
      </c>
      <c r="H15" s="335" t="s">
        <v>31</v>
      </c>
      <c r="I15" s="240" t="s">
        <v>30</v>
      </c>
      <c r="J15" s="241" t="s">
        <v>32</v>
      </c>
    </row>
    <row r="16" spans="1:22" ht="18" customHeight="1">
      <c r="A16" s="76" t="str">
        <f>IF($C$9="Data Not Entered On Set-Up Worksheet","",IF(OR(VLOOKUP($C$9,County_Lookup,2,FALSE)="",VLOOKUP($C$9,County_Lookup,2,FALSE)=0),"",VLOOKUP($C$9,County_Lookup,2,FALSE)))</f>
        <v/>
      </c>
      <c r="B16" s="222"/>
      <c r="C16" s="61"/>
      <c r="D16" s="87" t="str">
        <f t="shared" ref="D16:D40" si="0">IF($A16="","",IF($C16=0,0,B16/$C16))</f>
        <v/>
      </c>
      <c r="E16" s="69"/>
      <c r="F16" s="61"/>
      <c r="G16" s="87" t="str">
        <f t="shared" ref="G16:G40" si="1">IF($A16="","",IF($F16=0,0,E16/$F16))</f>
        <v/>
      </c>
      <c r="H16" s="69"/>
      <c r="I16" s="61"/>
      <c r="J16" s="87" t="str">
        <f t="shared" ref="J16:J40"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 si="3">IF($A38="","",IF($C38=0,0,B38/$C38))</f>
        <v/>
      </c>
      <c r="E38" s="69"/>
      <c r="F38" s="61"/>
      <c r="G38" s="87" t="str">
        <f t="shared" ref="G38" si="4">IF($A38="","",IF($F38=0,0,E38/$F38))</f>
        <v/>
      </c>
      <c r="H38" s="69"/>
      <c r="I38" s="61"/>
      <c r="J38" s="87" t="str">
        <f t="shared" ref="J38" si="5">IF($A38="","",IF($I38=0,0,H38/$I38))</f>
        <v/>
      </c>
    </row>
    <row r="39" spans="1:10" ht="18" customHeight="1">
      <c r="A39" s="77" t="str">
        <f>IF($C$9="Data Not Entered On Set-Up Worksheet","",IF(OR(VLOOKUP($C$9,County_Lookup,25,FALSE)="",VLOOKUP($C$9,County_Lookup,25,FALSE)=0),"",VLOOKUP($C$9,County_Lookup,25,FALSE)))</f>
        <v/>
      </c>
      <c r="B39" s="222"/>
      <c r="C39" s="61"/>
      <c r="D39" s="87" t="str">
        <f t="shared" si="0"/>
        <v/>
      </c>
      <c r="E39" s="69"/>
      <c r="F39" s="61"/>
      <c r="G39" s="87" t="str">
        <f t="shared" si="1"/>
        <v/>
      </c>
      <c r="H39" s="69"/>
      <c r="I39" s="61"/>
      <c r="J39" s="87" t="str">
        <f t="shared" si="2"/>
        <v/>
      </c>
    </row>
    <row r="40" spans="1:10" ht="18" customHeight="1" thickBot="1">
      <c r="A40" s="78" t="s">
        <v>0</v>
      </c>
      <c r="B40" s="223">
        <f t="shared" ref="B40" si="6">SUM(B16:B39)</f>
        <v>0</v>
      </c>
      <c r="C40" s="72">
        <f>SUM(C16:C39)</f>
        <v>0</v>
      </c>
      <c r="D40" s="53">
        <f t="shared" si="0"/>
        <v>0</v>
      </c>
      <c r="E40" s="334">
        <f t="shared" ref="E40" si="7">SUM(E16:E39)</f>
        <v>0</v>
      </c>
      <c r="F40" s="72">
        <f>SUM(F16:F39)</f>
        <v>0</v>
      </c>
      <c r="G40" s="53">
        <f t="shared" si="1"/>
        <v>0</v>
      </c>
      <c r="H40" s="334">
        <f t="shared" ref="H40" si="8">SUM(H16:H39)</f>
        <v>0</v>
      </c>
      <c r="I40" s="72">
        <f>SUM(I16:I39)</f>
        <v>0</v>
      </c>
      <c r="J40" s="53">
        <f t="shared" si="2"/>
        <v>0</v>
      </c>
    </row>
  </sheetData>
  <sheetProtection sheet="1" objects="1" scenarios="1"/>
  <conditionalFormatting sqref="C3:D4 C9:D9 C11:D12">
    <cfRule type="expression" dxfId="116" priority="13">
      <formula>C3="Data Not Entered On Set-Up Worksheet"</formula>
    </cfRule>
  </conditionalFormatting>
  <conditionalFormatting sqref="B16:C39 E16:F39 H16:I39">
    <cfRule type="expression" dxfId="115" priority="12">
      <formula>AND($A16&lt;&gt;"",B16="")</formula>
    </cfRule>
  </conditionalFormatting>
  <conditionalFormatting sqref="G3:G4 G9 G11:G12">
    <cfRule type="expression" dxfId="114" priority="11">
      <formula>G3="Data Not Entered On Set-Up Worksheet"</formula>
    </cfRule>
  </conditionalFormatting>
  <conditionalFormatting sqref="J3:J4 J9 J11:J12">
    <cfRule type="expression" dxfId="113" priority="9">
      <formula>J3="Data Not Entered On Set-Up Worksheet"</formula>
    </cfRule>
  </conditionalFormatting>
  <conditionalFormatting sqref="F9:F10">
    <cfRule type="expression" dxfId="112" priority="7">
      <formula>F9="Data Not Entered On Set-Up Worksheet"</formula>
    </cfRule>
  </conditionalFormatting>
  <conditionalFormatting sqref="B16:C39">
    <cfRule type="expression" dxfId="111" priority="1">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28</v>
      </c>
      <c r="E1" s="30"/>
      <c r="H1" s="30"/>
    </row>
    <row r="2" spans="1:22" ht="15" customHeight="1">
      <c r="A2" s="36" t="s">
        <v>198</v>
      </c>
      <c r="E2" s="321"/>
      <c r="H2" s="321"/>
    </row>
    <row r="3" spans="1:22" ht="15" customHeight="1">
      <c r="A3" s="30" t="s">
        <v>196</v>
      </c>
      <c r="C3" s="147">
        <f>IF('Set-Up Worksheet'!F3="","Data Not Entered On Set-Up Worksheet",'Set-Up Worksheet'!F3)</f>
        <v>2017</v>
      </c>
      <c r="D3" s="147"/>
      <c r="G3" s="147"/>
      <c r="J3" s="147"/>
    </row>
    <row r="4" spans="1:22" ht="15" customHeight="1">
      <c r="A4" s="30" t="s">
        <v>197</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340</v>
      </c>
      <c r="C6" s="32"/>
      <c r="D6" s="32"/>
      <c r="E6" s="30"/>
      <c r="G6" s="32"/>
      <c r="H6" s="30"/>
      <c r="J6" s="32"/>
    </row>
    <row r="7" spans="1:22" ht="15" customHeight="1">
      <c r="A7" s="31" t="s">
        <v>397</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29</v>
      </c>
      <c r="C9" s="39" t="str">
        <f>IF('Set-Up Worksheet'!E7="","Data Not Entered On Set-Up Worksheet",'Set-Up Worksheet'!E7)</f>
        <v>Data Not Entered On Set-Up Worksheet</v>
      </c>
      <c r="D9" s="39"/>
      <c r="F9" s="79" t="s">
        <v>449</v>
      </c>
      <c r="G9" s="39"/>
      <c r="J9" s="39"/>
    </row>
    <row r="10" spans="1:22" ht="15" customHeight="1">
      <c r="A10" s="30" t="s">
        <v>9</v>
      </c>
      <c r="C10" s="32" t="s">
        <v>10</v>
      </c>
      <c r="D10" s="32"/>
      <c r="F10" s="79"/>
      <c r="G10" s="32"/>
      <c r="J10" s="32"/>
    </row>
    <row r="11" spans="1:22" ht="15" customHeight="1">
      <c r="A11" s="30" t="s">
        <v>199</v>
      </c>
      <c r="C11" s="40" t="str">
        <f>IF(C4="Data Not Entered On Set-Up Worksheet","Data Not Entered On Set-Up Worksheet",IF(C4="1st Quarter",'Report Schedule'!D43,IF(C4="2nd Quarter",'Report Schedule'!E43,IF(C4="3rd Quarter",'Report Schedule'!F43,IF(C4="4th Quarter",'Report Schedule'!G43,"")))))</f>
        <v>Apr - Jun 2016</v>
      </c>
      <c r="D11" s="40"/>
      <c r="G11" s="40"/>
      <c r="J11" s="40"/>
    </row>
    <row r="12" spans="1:22" ht="15" customHeight="1" thickBot="1">
      <c r="A12" s="30"/>
      <c r="C12" s="40"/>
      <c r="D12" s="40"/>
      <c r="G12" s="40"/>
      <c r="J12" s="40"/>
    </row>
    <row r="13" spans="1:22" ht="18" customHeight="1" thickBot="1">
      <c r="A13" s="226" t="s">
        <v>330</v>
      </c>
      <c r="B13" s="384" t="s">
        <v>39</v>
      </c>
      <c r="C13" s="235"/>
      <c r="D13" s="236"/>
      <c r="E13" s="383" t="s">
        <v>244</v>
      </c>
      <c r="F13" s="231"/>
      <c r="G13" s="232"/>
      <c r="H13" s="384" t="s">
        <v>246</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43</v>
      </c>
      <c r="B15" s="242" t="s">
        <v>31</v>
      </c>
      <c r="C15" s="240" t="s">
        <v>30</v>
      </c>
      <c r="D15" s="241" t="s">
        <v>32</v>
      </c>
      <c r="E15" s="333" t="s">
        <v>31</v>
      </c>
      <c r="F15" s="67" t="s">
        <v>30</v>
      </c>
      <c r="G15" s="68" t="s">
        <v>32</v>
      </c>
      <c r="H15" s="335" t="s">
        <v>31</v>
      </c>
      <c r="I15" s="240" t="s">
        <v>30</v>
      </c>
      <c r="J15" s="241" t="s">
        <v>32</v>
      </c>
    </row>
    <row r="16" spans="1:22" ht="18" customHeight="1">
      <c r="A16" s="76" t="str">
        <f>IF($C$9="Data Not Entered On Set-Up Worksheet","",IF(OR(VLOOKUP($C$9,County_Lookup,2,FALSE)="",VLOOKUP($C$9,County_Lookup,2,FALSE)=0),"",VLOOKUP($C$9,County_Lookup,2,FALSE)))</f>
        <v/>
      </c>
      <c r="B16" s="222"/>
      <c r="C16" s="61"/>
      <c r="D16" s="87" t="str">
        <f t="shared" ref="D16:D40" si="0">IF($A16="","",IF($C16=0,0,B16/$C16))</f>
        <v/>
      </c>
      <c r="E16" s="69"/>
      <c r="F16" s="61"/>
      <c r="G16" s="87" t="str">
        <f t="shared" ref="G16:G40" si="1">IF($A16="","",IF($F16=0,0,E16/$F16))</f>
        <v/>
      </c>
      <c r="H16" s="69"/>
      <c r="I16" s="61"/>
      <c r="J16" s="87" t="str">
        <f t="shared" ref="J16:J40"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 si="3">IF($A38="","",IF($C38=0,0,B38/$C38))</f>
        <v/>
      </c>
      <c r="E38" s="69"/>
      <c r="F38" s="61"/>
      <c r="G38" s="87" t="str">
        <f t="shared" ref="G38" si="4">IF($A38="","",IF($F38=0,0,E38/$F38))</f>
        <v/>
      </c>
      <c r="H38" s="69"/>
      <c r="I38" s="61"/>
      <c r="J38" s="87" t="str">
        <f t="shared" ref="J38" si="5">IF($A38="","",IF($I38=0,0,H38/$I38))</f>
        <v/>
      </c>
    </row>
    <row r="39" spans="1:10" ht="18" customHeight="1">
      <c r="A39" s="77" t="str">
        <f>IF($C$9="Data Not Entered On Set-Up Worksheet","",IF(OR(VLOOKUP($C$9,County_Lookup,25,FALSE)="",VLOOKUP($C$9,County_Lookup,25,FALSE)=0),"",VLOOKUP($C$9,County_Lookup,25,FALSE)))</f>
        <v/>
      </c>
      <c r="B39" s="222"/>
      <c r="C39" s="61"/>
      <c r="D39" s="87" t="str">
        <f t="shared" si="0"/>
        <v/>
      </c>
      <c r="E39" s="69"/>
      <c r="F39" s="61"/>
      <c r="G39" s="87" t="str">
        <f t="shared" si="1"/>
        <v/>
      </c>
      <c r="H39" s="69"/>
      <c r="I39" s="61"/>
      <c r="J39" s="87" t="str">
        <f t="shared" si="2"/>
        <v/>
      </c>
    </row>
    <row r="40" spans="1:10" ht="18" customHeight="1" thickBot="1">
      <c r="A40" s="78" t="s">
        <v>0</v>
      </c>
      <c r="B40" s="223">
        <f t="shared" ref="B40" si="6">SUM(B16:B39)</f>
        <v>0</v>
      </c>
      <c r="C40" s="72">
        <f>SUM(C16:C39)</f>
        <v>0</v>
      </c>
      <c r="D40" s="53">
        <f t="shared" si="0"/>
        <v>0</v>
      </c>
      <c r="E40" s="334">
        <f t="shared" ref="E40" si="7">SUM(E16:E39)</f>
        <v>0</v>
      </c>
      <c r="F40" s="72">
        <f>SUM(F16:F39)</f>
        <v>0</v>
      </c>
      <c r="G40" s="53">
        <f t="shared" si="1"/>
        <v>0</v>
      </c>
      <c r="H40" s="334">
        <f t="shared" ref="H40" si="8">SUM(H16:H39)</f>
        <v>0</v>
      </c>
      <c r="I40" s="72">
        <f>SUM(I16:I39)</f>
        <v>0</v>
      </c>
      <c r="J40" s="53">
        <f t="shared" si="2"/>
        <v>0</v>
      </c>
    </row>
  </sheetData>
  <sheetProtection sheet="1" objects="1" scenarios="1"/>
  <conditionalFormatting sqref="C3:D4 C9:D9 C11:D12">
    <cfRule type="expression" dxfId="110" priority="13">
      <formula>C3="Data Not Entered On Set-Up Worksheet"</formula>
    </cfRule>
  </conditionalFormatting>
  <conditionalFormatting sqref="B16:C39 E16:F39 H16:I39">
    <cfRule type="expression" dxfId="109" priority="12">
      <formula>AND($A16&lt;&gt;"",B16="")</formula>
    </cfRule>
  </conditionalFormatting>
  <conditionalFormatting sqref="G3:G4 G9 G11:G12">
    <cfRule type="expression" dxfId="108" priority="11">
      <formula>G3="Data Not Entered On Set-Up Worksheet"</formula>
    </cfRule>
  </conditionalFormatting>
  <conditionalFormatting sqref="J3:J4 J9 J11:J12">
    <cfRule type="expression" dxfId="107" priority="9">
      <formula>J3="Data Not Entered On Set-Up Worksheet"</formula>
    </cfRule>
  </conditionalFormatting>
  <conditionalFormatting sqref="F9:F10">
    <cfRule type="expression" dxfId="106" priority="7">
      <formula>F9="Data Not Entered On Set-Up Worksheet"</formula>
    </cfRule>
  </conditionalFormatting>
  <conditionalFormatting sqref="B16:C39">
    <cfRule type="expression" dxfId="105" priority="1">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B16" sqref="B16"/>
    </sheetView>
  </sheetViews>
  <sheetFormatPr defaultRowHeight="12.75"/>
  <cols>
    <col min="1" max="1" width="22.42578125" style="22" customWidth="1"/>
    <col min="2" max="3" width="18.7109375" style="22" customWidth="1"/>
    <col min="4" max="4" width="16.7109375" style="22" customWidth="1"/>
    <col min="5" max="6" width="18.7109375" style="22" customWidth="1"/>
    <col min="7" max="7" width="16.7109375" style="22" customWidth="1"/>
    <col min="8" max="9" width="18.7109375" style="22" customWidth="1"/>
    <col min="10" max="10" width="16.7109375" style="22" customWidth="1"/>
    <col min="11" max="11" width="8.85546875" style="22" bestFit="1" customWidth="1"/>
    <col min="12" max="16384" width="9.140625" style="22"/>
  </cols>
  <sheetData>
    <row r="1" spans="1:22" ht="15" customHeight="1">
      <c r="A1" s="36" t="s">
        <v>28</v>
      </c>
      <c r="E1" s="30"/>
      <c r="H1" s="30"/>
    </row>
    <row r="2" spans="1:22" ht="15" customHeight="1">
      <c r="A2" s="36" t="s">
        <v>198</v>
      </c>
      <c r="E2" s="321"/>
      <c r="H2" s="321"/>
    </row>
    <row r="3" spans="1:22" ht="15" customHeight="1">
      <c r="A3" s="30" t="s">
        <v>196</v>
      </c>
      <c r="C3" s="147">
        <f>IF('Set-Up Worksheet'!F3="","Data Not Entered On Set-Up Worksheet",'Set-Up Worksheet'!F3)</f>
        <v>2017</v>
      </c>
      <c r="D3" s="147"/>
      <c r="G3" s="147"/>
      <c r="J3" s="147"/>
    </row>
    <row r="4" spans="1:22" ht="15" customHeight="1">
      <c r="A4" s="30" t="s">
        <v>197</v>
      </c>
      <c r="C4" s="147" t="str">
        <f>IF('Set-Up Worksheet'!F4="","Data Not Entered On Set-Up Worksheet",'Set-Up Worksheet'!F4)</f>
        <v>1st Quarter</v>
      </c>
      <c r="D4" s="147"/>
      <c r="G4" s="147"/>
      <c r="J4" s="147"/>
    </row>
    <row r="5" spans="1:22" ht="15" customHeight="1">
      <c r="A5" s="30"/>
      <c r="C5" s="32"/>
      <c r="D5" s="32"/>
      <c r="G5" s="32"/>
      <c r="J5" s="32"/>
    </row>
    <row r="6" spans="1:22" ht="15" customHeight="1">
      <c r="A6" s="30" t="s">
        <v>340</v>
      </c>
      <c r="C6" s="32"/>
      <c r="D6" s="32"/>
      <c r="E6" s="30"/>
      <c r="G6" s="32"/>
      <c r="H6" s="30"/>
      <c r="J6" s="32"/>
    </row>
    <row r="7" spans="1:22" ht="15" customHeight="1">
      <c r="A7" s="31" t="s">
        <v>398</v>
      </c>
      <c r="C7" s="32"/>
      <c r="D7" s="32"/>
      <c r="E7" s="30"/>
      <c r="G7" s="32"/>
      <c r="H7" s="30"/>
      <c r="J7" s="32"/>
    </row>
    <row r="8" spans="1:22" ht="15" customHeight="1">
      <c r="A8" s="30"/>
      <c r="C8" s="32"/>
      <c r="D8" s="32"/>
      <c r="G8" s="32"/>
      <c r="J8" s="32"/>
      <c r="N8" s="54"/>
      <c r="O8" s="54"/>
      <c r="P8" s="55"/>
      <c r="Q8" s="54"/>
      <c r="R8" s="54"/>
      <c r="S8" s="54"/>
      <c r="T8" s="54"/>
      <c r="U8" s="30"/>
      <c r="V8" s="35"/>
    </row>
    <row r="9" spans="1:22" ht="15" customHeight="1">
      <c r="A9" s="30" t="s">
        <v>29</v>
      </c>
      <c r="C9" s="39" t="str">
        <f>IF('Set-Up Worksheet'!E7="","Data Not Entered On Set-Up Worksheet",'Set-Up Worksheet'!E7)</f>
        <v>Data Not Entered On Set-Up Worksheet</v>
      </c>
      <c r="D9" s="39"/>
      <c r="F9" s="79" t="s">
        <v>449</v>
      </c>
      <c r="G9" s="39"/>
      <c r="J9" s="39"/>
    </row>
    <row r="10" spans="1:22" ht="15" customHeight="1">
      <c r="A10" s="30" t="s">
        <v>9</v>
      </c>
      <c r="C10" s="32" t="s">
        <v>10</v>
      </c>
      <c r="D10" s="32"/>
      <c r="F10" s="79"/>
      <c r="G10" s="32"/>
      <c r="J10" s="32"/>
    </row>
    <row r="11" spans="1:22" ht="15" customHeight="1">
      <c r="A11" s="30" t="s">
        <v>199</v>
      </c>
      <c r="C11" s="40" t="str">
        <f>IF(C4="Data Not Entered On Set-Up Worksheet","Data Not Entered On Set-Up Worksheet",IF(C4="1st Quarter",'Report Schedule'!D43,IF(C4="2nd Quarter",'Report Schedule'!E43,IF(C4="3rd Quarter",'Report Schedule'!F43,IF(C4="4th Quarter",'Report Schedule'!G43,"")))))</f>
        <v>Apr - Jun 2016</v>
      </c>
      <c r="D11" s="40"/>
      <c r="G11" s="40"/>
      <c r="J11" s="40"/>
    </row>
    <row r="12" spans="1:22" ht="15" customHeight="1" thickBot="1">
      <c r="A12" s="30"/>
      <c r="C12" s="40"/>
      <c r="D12" s="40"/>
      <c r="G12" s="40"/>
      <c r="J12" s="40"/>
    </row>
    <row r="13" spans="1:22" ht="18" customHeight="1" thickBot="1">
      <c r="A13" s="226" t="s">
        <v>330</v>
      </c>
      <c r="B13" s="384" t="s">
        <v>39</v>
      </c>
      <c r="C13" s="235"/>
      <c r="D13" s="236"/>
      <c r="E13" s="383" t="s">
        <v>244</v>
      </c>
      <c r="F13" s="231"/>
      <c r="G13" s="232"/>
      <c r="H13" s="384" t="s">
        <v>246</v>
      </c>
      <c r="I13" s="235"/>
      <c r="J13" s="236"/>
    </row>
    <row r="14" spans="1:22" s="35" customFormat="1" ht="13.5" thickBot="1">
      <c r="A14" s="30"/>
      <c r="B14" s="45" t="s">
        <v>3</v>
      </c>
      <c r="C14" s="57" t="s">
        <v>4</v>
      </c>
      <c r="D14" s="57" t="s">
        <v>8</v>
      </c>
      <c r="E14" s="45" t="s">
        <v>3</v>
      </c>
      <c r="F14" s="57" t="s">
        <v>4</v>
      </c>
      <c r="G14" s="57" t="s">
        <v>8</v>
      </c>
      <c r="H14" s="45" t="s">
        <v>3</v>
      </c>
      <c r="I14" s="57" t="s">
        <v>4</v>
      </c>
      <c r="J14" s="57" t="s">
        <v>8</v>
      </c>
      <c r="K14" s="33"/>
      <c r="L14" s="30"/>
      <c r="M14" s="30"/>
      <c r="N14" s="30"/>
      <c r="O14" s="30"/>
      <c r="P14" s="30"/>
    </row>
    <row r="15" spans="1:22" ht="38.25">
      <c r="A15" s="75" t="s">
        <v>43</v>
      </c>
      <c r="B15" s="242" t="s">
        <v>31</v>
      </c>
      <c r="C15" s="240" t="s">
        <v>30</v>
      </c>
      <c r="D15" s="241" t="s">
        <v>32</v>
      </c>
      <c r="E15" s="333" t="s">
        <v>31</v>
      </c>
      <c r="F15" s="67" t="s">
        <v>30</v>
      </c>
      <c r="G15" s="68" t="s">
        <v>32</v>
      </c>
      <c r="H15" s="335" t="s">
        <v>31</v>
      </c>
      <c r="I15" s="240" t="s">
        <v>30</v>
      </c>
      <c r="J15" s="241" t="s">
        <v>32</v>
      </c>
    </row>
    <row r="16" spans="1:22" ht="18" customHeight="1">
      <c r="A16" s="76" t="str">
        <f>IF($C$9="Data Not Entered On Set-Up Worksheet","",IF(OR(VLOOKUP($C$9,County_Lookup,2,FALSE)="",VLOOKUP($C$9,County_Lookup,2,FALSE)=0),"",VLOOKUP($C$9,County_Lookup,2,FALSE)))</f>
        <v/>
      </c>
      <c r="B16" s="222"/>
      <c r="C16" s="61"/>
      <c r="D16" s="87" t="str">
        <f t="shared" ref="D16:D40" si="0">IF($A16="","",IF($C16=0,0,B16/$C16))</f>
        <v/>
      </c>
      <c r="E16" s="69"/>
      <c r="F16" s="61"/>
      <c r="G16" s="87" t="str">
        <f t="shared" ref="G16:G40" si="1">IF($A16="","",IF($F16=0,0,E16/$F16))</f>
        <v/>
      </c>
      <c r="H16" s="69"/>
      <c r="I16" s="61"/>
      <c r="J16" s="87" t="str">
        <f t="shared" ref="J16:J40" si="2">IF($A16="","",IF($I16=0,0,H16/$I16))</f>
        <v/>
      </c>
    </row>
    <row r="17" spans="1:10" ht="18" customHeight="1">
      <c r="A17" s="77" t="str">
        <f>IF($C$9="Data Not Entered On Set-Up Worksheet","",IF(OR(VLOOKUP($C$9,County_Lookup,3,FALSE)="",VLOOKUP($C$9,County_Lookup,3,FALSE)=0),"",VLOOKUP($C$9,County_Lookup,3,FALSE)))</f>
        <v/>
      </c>
      <c r="B17" s="222"/>
      <c r="C17" s="61"/>
      <c r="D17" s="87" t="str">
        <f t="shared" si="0"/>
        <v/>
      </c>
      <c r="E17" s="69"/>
      <c r="F17" s="61"/>
      <c r="G17" s="87" t="str">
        <f t="shared" si="1"/>
        <v/>
      </c>
      <c r="H17" s="69"/>
      <c r="I17" s="61"/>
      <c r="J17" s="87" t="str">
        <f t="shared" si="2"/>
        <v/>
      </c>
    </row>
    <row r="18" spans="1:10" ht="18" customHeight="1">
      <c r="A18" s="77" t="str">
        <f>IF($C$9="Data Not Entered On Set-Up Worksheet","",IF(OR(VLOOKUP($C$9,County_Lookup,4,FALSE)="",VLOOKUP($C$9,County_Lookup,4,FALSE)=0),"",VLOOKUP($C$9,County_Lookup,4,FALSE)))</f>
        <v/>
      </c>
      <c r="B18" s="222"/>
      <c r="C18" s="61"/>
      <c r="D18" s="87" t="str">
        <f t="shared" si="0"/>
        <v/>
      </c>
      <c r="E18" s="69"/>
      <c r="F18" s="61"/>
      <c r="G18" s="87" t="str">
        <f t="shared" si="1"/>
        <v/>
      </c>
      <c r="H18" s="69"/>
      <c r="I18" s="61"/>
      <c r="J18" s="87" t="str">
        <f t="shared" si="2"/>
        <v/>
      </c>
    </row>
    <row r="19" spans="1:10" ht="18" customHeight="1">
      <c r="A19" s="77" t="str">
        <f>IF($C$9="Data Not Entered On Set-Up Worksheet","",IF(OR(VLOOKUP($C$9,County_Lookup,5,FALSE)="",VLOOKUP($C$9,County_Lookup,5,FALSE)=0),"",VLOOKUP($C$9,County_Lookup,5,FALSE)))</f>
        <v/>
      </c>
      <c r="B19" s="222"/>
      <c r="C19" s="61"/>
      <c r="D19" s="87" t="str">
        <f t="shared" si="0"/>
        <v/>
      </c>
      <c r="E19" s="69"/>
      <c r="F19" s="61"/>
      <c r="G19" s="87" t="str">
        <f t="shared" si="1"/>
        <v/>
      </c>
      <c r="H19" s="69"/>
      <c r="I19" s="61"/>
      <c r="J19" s="87" t="str">
        <f t="shared" si="2"/>
        <v/>
      </c>
    </row>
    <row r="20" spans="1:10" ht="18" customHeight="1">
      <c r="A20" s="77" t="str">
        <f>IF($C$9="Data Not Entered On Set-Up Worksheet","",IF(OR(VLOOKUP($C$9,County_Lookup,6,FALSE)="",VLOOKUP($C$9,County_Lookup,6,FALSE)=0),"",VLOOKUP($C$9,County_Lookup,6,FALSE)))</f>
        <v/>
      </c>
      <c r="B20" s="222"/>
      <c r="C20" s="61"/>
      <c r="D20" s="87" t="str">
        <f t="shared" si="0"/>
        <v/>
      </c>
      <c r="E20" s="69"/>
      <c r="F20" s="61"/>
      <c r="G20" s="87" t="str">
        <f t="shared" si="1"/>
        <v/>
      </c>
      <c r="H20" s="69"/>
      <c r="I20" s="61"/>
      <c r="J20" s="87" t="str">
        <f t="shared" si="2"/>
        <v/>
      </c>
    </row>
    <row r="21" spans="1:10" ht="18" customHeight="1">
      <c r="A21" s="77" t="str">
        <f>IF($C$9="Data Not Entered On Set-Up Worksheet","",IF(OR(VLOOKUP($C$9,County_Lookup,7,FALSE)="",VLOOKUP($C$9,County_Lookup,7,FALSE)=0),"",VLOOKUP($C$9,County_Lookup,7,FALSE)))</f>
        <v/>
      </c>
      <c r="B21" s="222"/>
      <c r="C21" s="61"/>
      <c r="D21" s="87" t="str">
        <f t="shared" si="0"/>
        <v/>
      </c>
      <c r="E21" s="69"/>
      <c r="F21" s="61"/>
      <c r="G21" s="87" t="str">
        <f t="shared" si="1"/>
        <v/>
      </c>
      <c r="H21" s="69"/>
      <c r="I21" s="61"/>
      <c r="J21" s="87" t="str">
        <f t="shared" si="2"/>
        <v/>
      </c>
    </row>
    <row r="22" spans="1:10" ht="18" customHeight="1">
      <c r="A22" s="76" t="str">
        <f>IF($C$9="Data Not Entered On Set-Up Worksheet","",IF(OR(VLOOKUP($C$9,County_Lookup,8,FALSE)="",VLOOKUP($C$9,County_Lookup,8,FALSE)=0),"",VLOOKUP($C$9,County_Lookup,8,FALSE)))</f>
        <v/>
      </c>
      <c r="B22" s="222"/>
      <c r="C22" s="61"/>
      <c r="D22" s="87" t="str">
        <f t="shared" si="0"/>
        <v/>
      </c>
      <c r="E22" s="69"/>
      <c r="F22" s="61"/>
      <c r="G22" s="87" t="str">
        <f t="shared" si="1"/>
        <v/>
      </c>
      <c r="H22" s="69"/>
      <c r="I22" s="61"/>
      <c r="J22" s="87" t="str">
        <f t="shared" si="2"/>
        <v/>
      </c>
    </row>
    <row r="23" spans="1:10" ht="18" customHeight="1">
      <c r="A23" s="77" t="str">
        <f>IF($C$9="Data Not Entered On Set-Up Worksheet","",IF(OR(VLOOKUP($C$9,County_Lookup,9,FALSE)="",VLOOKUP($C$9,County_Lookup,9,FALSE)=0),"",VLOOKUP($C$9,County_Lookup,9,FALSE)))</f>
        <v/>
      </c>
      <c r="B23" s="222"/>
      <c r="C23" s="61"/>
      <c r="D23" s="87" t="str">
        <f t="shared" si="0"/>
        <v/>
      </c>
      <c r="E23" s="69"/>
      <c r="F23" s="61"/>
      <c r="G23" s="87" t="str">
        <f t="shared" si="1"/>
        <v/>
      </c>
      <c r="H23" s="69"/>
      <c r="I23" s="61"/>
      <c r="J23" s="87" t="str">
        <f t="shared" si="2"/>
        <v/>
      </c>
    </row>
    <row r="24" spans="1:10" ht="18" customHeight="1">
      <c r="A24" s="77" t="str">
        <f>IF($C$9="Data Not Entered On Set-Up Worksheet","",IF(OR(VLOOKUP($C$9,County_Lookup,10,FALSE)="",VLOOKUP($C$9,County_Lookup,10,FALSE)=0),"",VLOOKUP($C$9,County_Lookup,10,FALSE)))</f>
        <v/>
      </c>
      <c r="B24" s="222"/>
      <c r="C24" s="61"/>
      <c r="D24" s="87" t="str">
        <f t="shared" si="0"/>
        <v/>
      </c>
      <c r="E24" s="69"/>
      <c r="F24" s="61"/>
      <c r="G24" s="87" t="str">
        <f t="shared" si="1"/>
        <v/>
      </c>
      <c r="H24" s="69"/>
      <c r="I24" s="61"/>
      <c r="J24" s="87" t="str">
        <f t="shared" si="2"/>
        <v/>
      </c>
    </row>
    <row r="25" spans="1:10" ht="18" customHeight="1">
      <c r="A25" s="77" t="str">
        <f>IF($C$9="Data Not Entered On Set-Up Worksheet","",IF(OR(VLOOKUP($C$9,County_Lookup,11,FALSE)="",VLOOKUP($C$9,County_Lookup,11,FALSE)=0),"",VLOOKUP($C$9,County_Lookup,11,FALSE)))</f>
        <v/>
      </c>
      <c r="B25" s="222"/>
      <c r="C25" s="61"/>
      <c r="D25" s="87" t="str">
        <f t="shared" si="0"/>
        <v/>
      </c>
      <c r="E25" s="69"/>
      <c r="F25" s="61"/>
      <c r="G25" s="87" t="str">
        <f t="shared" si="1"/>
        <v/>
      </c>
      <c r="H25" s="69"/>
      <c r="I25" s="61"/>
      <c r="J25" s="87" t="str">
        <f t="shared" si="2"/>
        <v/>
      </c>
    </row>
    <row r="26" spans="1:10" ht="18" customHeight="1">
      <c r="A26" s="77" t="str">
        <f>IF($C$9="Data Not Entered On Set-Up Worksheet","",IF(OR(VLOOKUP($C$9,County_Lookup,12,FALSE)="",VLOOKUP($C$9,County_Lookup,12,FALSE)=0),"",VLOOKUP($C$9,County_Lookup,12,FALSE)))</f>
        <v/>
      </c>
      <c r="B26" s="222"/>
      <c r="C26" s="61"/>
      <c r="D26" s="87" t="str">
        <f t="shared" si="0"/>
        <v/>
      </c>
      <c r="E26" s="69"/>
      <c r="F26" s="61"/>
      <c r="G26" s="87" t="str">
        <f t="shared" si="1"/>
        <v/>
      </c>
      <c r="H26" s="69"/>
      <c r="I26" s="61"/>
      <c r="J26" s="87" t="str">
        <f t="shared" si="2"/>
        <v/>
      </c>
    </row>
    <row r="27" spans="1:10" ht="18" customHeight="1">
      <c r="A27" s="77" t="str">
        <f>IF($C$9="Data Not Entered On Set-Up Worksheet","",IF(OR(VLOOKUP($C$9,County_Lookup,13,FALSE)="",VLOOKUP($C$9,County_Lookup,13,FALSE)=0),"",VLOOKUP($C$9,County_Lookup,13,FALSE)))</f>
        <v/>
      </c>
      <c r="B27" s="222"/>
      <c r="C27" s="61"/>
      <c r="D27" s="87" t="str">
        <f t="shared" si="0"/>
        <v/>
      </c>
      <c r="E27" s="69"/>
      <c r="F27" s="61"/>
      <c r="G27" s="87" t="str">
        <f t="shared" si="1"/>
        <v/>
      </c>
      <c r="H27" s="69"/>
      <c r="I27" s="61"/>
      <c r="J27" s="87" t="str">
        <f t="shared" si="2"/>
        <v/>
      </c>
    </row>
    <row r="28" spans="1:10" ht="18" customHeight="1">
      <c r="A28" s="77" t="str">
        <f>IF($C$9="Data Not Entered On Set-Up Worksheet","",IF(OR(VLOOKUP($C$9,County_Lookup,14,FALSE)="",VLOOKUP($C$9,County_Lookup,14,FALSE)=0),"",VLOOKUP($C$9,County_Lookup,14,FALSE)))</f>
        <v/>
      </c>
      <c r="B28" s="222"/>
      <c r="C28" s="61"/>
      <c r="D28" s="87" t="str">
        <f t="shared" si="0"/>
        <v/>
      </c>
      <c r="E28" s="69"/>
      <c r="F28" s="61"/>
      <c r="G28" s="87" t="str">
        <f t="shared" si="1"/>
        <v/>
      </c>
      <c r="H28" s="69"/>
      <c r="I28" s="61"/>
      <c r="J28" s="87" t="str">
        <f t="shared" si="2"/>
        <v/>
      </c>
    </row>
    <row r="29" spans="1:10" ht="18" customHeight="1">
      <c r="A29" s="76" t="str">
        <f>IF($C$9="Data Not Entered On Set-Up Worksheet","",IF(OR(VLOOKUP($C$9,County_Lookup,15,FALSE)="",VLOOKUP($C$9,County_Lookup,15,FALSE)=0),"",VLOOKUP($C$9,County_Lookup,15,FALSE)))</f>
        <v/>
      </c>
      <c r="B29" s="222"/>
      <c r="C29" s="61"/>
      <c r="D29" s="87" t="str">
        <f t="shared" si="0"/>
        <v/>
      </c>
      <c r="E29" s="69"/>
      <c r="F29" s="61"/>
      <c r="G29" s="87" t="str">
        <f t="shared" si="1"/>
        <v/>
      </c>
      <c r="H29" s="69"/>
      <c r="I29" s="61"/>
      <c r="J29" s="87" t="str">
        <f t="shared" si="2"/>
        <v/>
      </c>
    </row>
    <row r="30" spans="1:10" ht="18" customHeight="1">
      <c r="A30" s="77" t="str">
        <f>IF($C$9="Data Not Entered On Set-Up Worksheet","",IF(OR(VLOOKUP($C$9,County_Lookup,16,FALSE)="",VLOOKUP($C$9,County_Lookup,16,FALSE)=0),"",VLOOKUP($C$9,County_Lookup,16,FALSE)))</f>
        <v/>
      </c>
      <c r="B30" s="222"/>
      <c r="C30" s="61"/>
      <c r="D30" s="87" t="str">
        <f t="shared" si="0"/>
        <v/>
      </c>
      <c r="E30" s="69"/>
      <c r="F30" s="61"/>
      <c r="G30" s="87" t="str">
        <f t="shared" si="1"/>
        <v/>
      </c>
      <c r="H30" s="69"/>
      <c r="I30" s="61"/>
      <c r="J30" s="87" t="str">
        <f t="shared" si="2"/>
        <v/>
      </c>
    </row>
    <row r="31" spans="1:10" ht="18" customHeight="1">
      <c r="A31" s="77" t="str">
        <f>IF($C$9="Data Not Entered On Set-Up Worksheet","",IF(OR(VLOOKUP($C$9,County_Lookup,17,FALSE)="",VLOOKUP($C$9,County_Lookup,17,FALSE)=0),"",VLOOKUP($C$9,County_Lookup,17,FALSE)))</f>
        <v/>
      </c>
      <c r="B31" s="222"/>
      <c r="C31" s="61"/>
      <c r="D31" s="87" t="str">
        <f t="shared" si="0"/>
        <v/>
      </c>
      <c r="E31" s="69"/>
      <c r="F31" s="61"/>
      <c r="G31" s="87" t="str">
        <f t="shared" si="1"/>
        <v/>
      </c>
      <c r="H31" s="69"/>
      <c r="I31" s="61"/>
      <c r="J31" s="87" t="str">
        <f t="shared" si="2"/>
        <v/>
      </c>
    </row>
    <row r="32" spans="1:10" ht="18" customHeight="1">
      <c r="A32" s="77" t="str">
        <f>IF($C$9="Data Not Entered On Set-Up Worksheet","",IF(OR(VLOOKUP($C$9,County_Lookup,18,FALSE)="",VLOOKUP($C$9,County_Lookup,18,FALSE)=0),"",VLOOKUP($C$9,County_Lookup,18,FALSE)))</f>
        <v/>
      </c>
      <c r="B32" s="222"/>
      <c r="C32" s="61"/>
      <c r="D32" s="87" t="str">
        <f t="shared" si="0"/>
        <v/>
      </c>
      <c r="E32" s="69"/>
      <c r="F32" s="61"/>
      <c r="G32" s="87" t="str">
        <f t="shared" si="1"/>
        <v/>
      </c>
      <c r="H32" s="69"/>
      <c r="I32" s="61"/>
      <c r="J32" s="87" t="str">
        <f t="shared" si="2"/>
        <v/>
      </c>
    </row>
    <row r="33" spans="1:10" ht="18" customHeight="1">
      <c r="A33" s="77" t="str">
        <f>IF($C$9="Data Not Entered On Set-Up Worksheet","",IF(OR(VLOOKUP($C$9,County_Lookup,19,FALSE)="",VLOOKUP($C$9,County_Lookup,19,FALSE)=0),"",VLOOKUP($C$9,County_Lookup,19,FALSE)))</f>
        <v/>
      </c>
      <c r="B33" s="222"/>
      <c r="C33" s="61"/>
      <c r="D33" s="87" t="str">
        <f t="shared" si="0"/>
        <v/>
      </c>
      <c r="E33" s="69"/>
      <c r="F33" s="61"/>
      <c r="G33" s="87" t="str">
        <f t="shared" si="1"/>
        <v/>
      </c>
      <c r="H33" s="69"/>
      <c r="I33" s="61"/>
      <c r="J33" s="87" t="str">
        <f t="shared" si="2"/>
        <v/>
      </c>
    </row>
    <row r="34" spans="1:10" ht="18" customHeight="1">
      <c r="A34" s="77" t="str">
        <f>IF($C$9="Data Not Entered On Set-Up Worksheet","",IF(OR(VLOOKUP($C$9,County_Lookup,20,FALSE)="",VLOOKUP($C$9,County_Lookup,20,FALSE)=0),"",VLOOKUP($C$9,County_Lookup,20,FALSE)))</f>
        <v/>
      </c>
      <c r="B34" s="222"/>
      <c r="C34" s="61"/>
      <c r="D34" s="87" t="str">
        <f t="shared" si="0"/>
        <v/>
      </c>
      <c r="E34" s="69"/>
      <c r="F34" s="61"/>
      <c r="G34" s="87" t="str">
        <f t="shared" si="1"/>
        <v/>
      </c>
      <c r="H34" s="69"/>
      <c r="I34" s="61"/>
      <c r="J34" s="87" t="str">
        <f t="shared" si="2"/>
        <v/>
      </c>
    </row>
    <row r="35" spans="1:10" ht="18" customHeight="1">
      <c r="A35" s="77" t="str">
        <f>IF($C$9="Data Not Entered On Set-Up Worksheet","",IF(OR(VLOOKUP($C$9,County_Lookup,21,FALSE)="",VLOOKUP($C$9,County_Lookup,21,FALSE)=0),"",VLOOKUP($C$9,County_Lookup,21,FALSE)))</f>
        <v/>
      </c>
      <c r="B35" s="222"/>
      <c r="C35" s="61"/>
      <c r="D35" s="87" t="str">
        <f t="shared" si="0"/>
        <v/>
      </c>
      <c r="E35" s="69"/>
      <c r="F35" s="61"/>
      <c r="G35" s="87" t="str">
        <f t="shared" si="1"/>
        <v/>
      </c>
      <c r="H35" s="69"/>
      <c r="I35" s="61"/>
      <c r="J35" s="87" t="str">
        <f t="shared" si="2"/>
        <v/>
      </c>
    </row>
    <row r="36" spans="1:10" ht="18" customHeight="1">
      <c r="A36" s="76" t="str">
        <f>IF($C$9="Data Not Entered On Set-Up Worksheet","",IF(OR(VLOOKUP($C$9,County_Lookup,22,FALSE)="",VLOOKUP($C$9,County_Lookup,22,FALSE)=0),"",VLOOKUP($C$9,County_Lookup,22,FALSE)))</f>
        <v/>
      </c>
      <c r="B36" s="222"/>
      <c r="C36" s="61"/>
      <c r="D36" s="87" t="str">
        <f t="shared" si="0"/>
        <v/>
      </c>
      <c r="E36" s="69"/>
      <c r="F36" s="61"/>
      <c r="G36" s="87" t="str">
        <f t="shared" si="1"/>
        <v/>
      </c>
      <c r="H36" s="69"/>
      <c r="I36" s="61"/>
      <c r="J36" s="87" t="str">
        <f t="shared" si="2"/>
        <v/>
      </c>
    </row>
    <row r="37" spans="1:10" ht="18" customHeight="1">
      <c r="A37" s="77" t="str">
        <f>IF($C$9="Data Not Entered On Set-Up Worksheet","",IF(OR(VLOOKUP($C$9,County_Lookup,23,FALSE)="",VLOOKUP($C$9,County_Lookup,23,FALSE)=0),"",VLOOKUP($C$9,County_Lookup,23,FALSE)))</f>
        <v/>
      </c>
      <c r="B37" s="222"/>
      <c r="C37" s="61"/>
      <c r="D37" s="87" t="str">
        <f t="shared" si="0"/>
        <v/>
      </c>
      <c r="E37" s="69"/>
      <c r="F37" s="61"/>
      <c r="G37" s="87" t="str">
        <f t="shared" si="1"/>
        <v/>
      </c>
      <c r="H37" s="69"/>
      <c r="I37" s="61"/>
      <c r="J37" s="87" t="str">
        <f t="shared" si="2"/>
        <v/>
      </c>
    </row>
    <row r="38" spans="1:10" ht="18" customHeight="1">
      <c r="A38" s="77" t="str">
        <f>IF($C$9="Data Not Entered On Set-Up Worksheet","",IF(OR(VLOOKUP($C$9,County_Lookup,24,FALSE)="",VLOOKUP($C$9,County_Lookup,24,FALSE)=0),"",VLOOKUP($C$9,County_Lookup,24,FALSE)))</f>
        <v/>
      </c>
      <c r="B38" s="222"/>
      <c r="C38" s="61"/>
      <c r="D38" s="87" t="str">
        <f t="shared" ref="D38" si="3">IF($A38="","",IF($C38=0,0,B38/$C38))</f>
        <v/>
      </c>
      <c r="E38" s="69"/>
      <c r="F38" s="61"/>
      <c r="G38" s="87" t="str">
        <f t="shared" ref="G38" si="4">IF($A38="","",IF($F38=0,0,E38/$F38))</f>
        <v/>
      </c>
      <c r="H38" s="69"/>
      <c r="I38" s="61"/>
      <c r="J38" s="87" t="str">
        <f t="shared" ref="J38" si="5">IF($A38="","",IF($I38=0,0,H38/$I38))</f>
        <v/>
      </c>
    </row>
    <row r="39" spans="1:10" ht="18" customHeight="1">
      <c r="A39" s="77" t="str">
        <f>IF($C$9="Data Not Entered On Set-Up Worksheet","",IF(OR(VLOOKUP($C$9,County_Lookup,25,FALSE)="",VLOOKUP($C$9,County_Lookup,25,FALSE)=0),"",VLOOKUP($C$9,County_Lookup,25,FALSE)))</f>
        <v/>
      </c>
      <c r="B39" s="222"/>
      <c r="C39" s="61"/>
      <c r="D39" s="87" t="str">
        <f t="shared" si="0"/>
        <v/>
      </c>
      <c r="E39" s="69"/>
      <c r="F39" s="61"/>
      <c r="G39" s="87" t="str">
        <f t="shared" si="1"/>
        <v/>
      </c>
      <c r="H39" s="69"/>
      <c r="I39" s="61"/>
      <c r="J39" s="87" t="str">
        <f t="shared" si="2"/>
        <v/>
      </c>
    </row>
    <row r="40" spans="1:10" ht="18" customHeight="1" thickBot="1">
      <c r="A40" s="78" t="s">
        <v>0</v>
      </c>
      <c r="B40" s="223">
        <f t="shared" ref="B40" si="6">SUM(B16:B39)</f>
        <v>0</v>
      </c>
      <c r="C40" s="72">
        <f>SUM(C16:C39)</f>
        <v>0</v>
      </c>
      <c r="D40" s="53">
        <f t="shared" si="0"/>
        <v>0</v>
      </c>
      <c r="E40" s="334">
        <f t="shared" ref="E40" si="7">SUM(E16:E39)</f>
        <v>0</v>
      </c>
      <c r="F40" s="72">
        <f>SUM(F16:F39)</f>
        <v>0</v>
      </c>
      <c r="G40" s="53">
        <f t="shared" si="1"/>
        <v>0</v>
      </c>
      <c r="H40" s="334">
        <f t="shared" ref="H40" si="8">SUM(H16:H39)</f>
        <v>0</v>
      </c>
      <c r="I40" s="72">
        <f>SUM(I16:I39)</f>
        <v>0</v>
      </c>
      <c r="J40" s="53">
        <f t="shared" si="2"/>
        <v>0</v>
      </c>
    </row>
  </sheetData>
  <sheetProtection sheet="1" objects="1" scenarios="1"/>
  <conditionalFormatting sqref="C3:D4 C9:D9 C11:D12">
    <cfRule type="expression" dxfId="104" priority="13">
      <formula>C3="Data Not Entered On Set-Up Worksheet"</formula>
    </cfRule>
  </conditionalFormatting>
  <conditionalFormatting sqref="B16:C39 E16:F39 H16:I39">
    <cfRule type="expression" dxfId="103" priority="12">
      <formula>AND($A16&lt;&gt;"",B16="")</formula>
    </cfRule>
  </conditionalFormatting>
  <conditionalFormatting sqref="G3:G4 G9 G11:G12">
    <cfRule type="expression" dxfId="102" priority="11">
      <formula>G3="Data Not Entered On Set-Up Worksheet"</formula>
    </cfRule>
  </conditionalFormatting>
  <conditionalFormatting sqref="J3:J4 J9 J11:J12">
    <cfRule type="expression" dxfId="101" priority="9">
      <formula>J3="Data Not Entered On Set-Up Worksheet"</formula>
    </cfRule>
  </conditionalFormatting>
  <conditionalFormatting sqref="F9:F10">
    <cfRule type="expression" dxfId="100" priority="7">
      <formula>F9="Data Not Entered On Set-Up Worksheet"</formula>
    </cfRule>
  </conditionalFormatting>
  <conditionalFormatting sqref="B16:C39">
    <cfRule type="expression" dxfId="99" priority="1">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21"/>
  <sheetViews>
    <sheetView showGridLines="0" topLeftCell="A5" workbookViewId="0">
      <selection activeCell="B19" sqref="B19"/>
    </sheetView>
  </sheetViews>
  <sheetFormatPr defaultRowHeight="12.75"/>
  <cols>
    <col min="1" max="7" width="15.7109375" style="22" customWidth="1"/>
    <col min="8" max="16384" width="9.140625" style="22"/>
  </cols>
  <sheetData>
    <row r="1" spans="1:8" ht="15" customHeight="1">
      <c r="A1" s="36" t="s">
        <v>28</v>
      </c>
    </row>
    <row r="2" spans="1:8" ht="15" customHeight="1">
      <c r="A2" s="36" t="s">
        <v>198</v>
      </c>
    </row>
    <row r="3" spans="1:8" ht="15" customHeight="1">
      <c r="A3" s="30" t="s">
        <v>196</v>
      </c>
      <c r="C3" s="147">
        <f>IF('Set-Up Worksheet'!F3="","Data Not Entered On Set-Up Worksheet",'Set-Up Worksheet'!F3)</f>
        <v>2017</v>
      </c>
    </row>
    <row r="4" spans="1:8" ht="15" customHeight="1">
      <c r="A4" s="30" t="s">
        <v>197</v>
      </c>
      <c r="C4" s="147" t="str">
        <f>IF('Set-Up Worksheet'!F4="","Data Not Entered On Set-Up Worksheet",'Set-Up Worksheet'!F4)</f>
        <v>1st Quarter</v>
      </c>
    </row>
    <row r="5" spans="1:8" ht="15" customHeight="1">
      <c r="C5" s="32"/>
    </row>
    <row r="6" spans="1:8" ht="15" customHeight="1">
      <c r="A6" s="30" t="s">
        <v>339</v>
      </c>
      <c r="C6" s="32"/>
    </row>
    <row r="7" spans="1:8" ht="15" customHeight="1">
      <c r="A7" s="30" t="s">
        <v>399</v>
      </c>
      <c r="C7" s="32"/>
    </row>
    <row r="8" spans="1:8" ht="15" customHeight="1">
      <c r="A8" s="30"/>
      <c r="C8" s="32"/>
    </row>
    <row r="9" spans="1:8" ht="15" customHeight="1">
      <c r="A9" s="30" t="s">
        <v>29</v>
      </c>
      <c r="C9" s="39" t="str">
        <f>IF('Set-Up Worksheet'!E7="","Data Not Entered On Set-Up Worksheet",'Set-Up Worksheet'!E7)</f>
        <v>Data Not Entered On Set-Up Worksheet</v>
      </c>
    </row>
    <row r="10" spans="1:8" ht="15" customHeight="1">
      <c r="A10" s="30" t="s">
        <v>9</v>
      </c>
      <c r="C10" s="32" t="s">
        <v>10</v>
      </c>
    </row>
    <row r="11" spans="1:8" ht="15" customHeight="1">
      <c r="A11" s="30" t="s">
        <v>199</v>
      </c>
      <c r="C11" s="40" t="str">
        <f>IF(C4="Data Not Entered On Set-Up Worksheet","Data Not Entered On Set-Up Worksheet",IF(C4="1st Quarter",'Report Schedule'!D46,IF(C4="2nd Quarter",'Report Schedule'!E46,IF(C4="3rd Quarter",'Report Schedule'!F46,IF(C4="4th Quarter",'Report Schedule'!G46,"")))))</f>
        <v>Apr - Jun 2016</v>
      </c>
      <c r="D11" s="54"/>
    </row>
    <row r="14" spans="1:8" ht="193.5" customHeight="1">
      <c r="A14" s="522" t="s">
        <v>436</v>
      </c>
      <c r="B14" s="522"/>
      <c r="C14" s="522"/>
      <c r="D14" s="522"/>
      <c r="E14" s="522"/>
      <c r="F14" s="522"/>
      <c r="G14" s="522"/>
      <c r="H14" s="47"/>
    </row>
    <row r="15" spans="1:8">
      <c r="A15" s="47"/>
      <c r="B15" s="47"/>
      <c r="C15" s="47"/>
      <c r="D15" s="47"/>
      <c r="E15" s="47"/>
      <c r="F15" s="47"/>
      <c r="G15" s="47"/>
      <c r="H15" s="47"/>
    </row>
    <row r="17" spans="2:6">
      <c r="B17" s="337" t="s">
        <v>403</v>
      </c>
      <c r="C17" s="338"/>
      <c r="D17" s="338"/>
      <c r="E17" s="339"/>
    </row>
    <row r="18" spans="2:6" ht="15" customHeight="1">
      <c r="B18" s="336" t="s">
        <v>400</v>
      </c>
      <c r="C18" s="336" t="s">
        <v>401</v>
      </c>
      <c r="D18" s="336" t="s">
        <v>437</v>
      </c>
      <c r="E18" s="343" t="s">
        <v>404</v>
      </c>
      <c r="F18" s="342" t="s">
        <v>402</v>
      </c>
    </row>
    <row r="19" spans="2:6" ht="20.100000000000001" customHeight="1">
      <c r="B19" s="340"/>
      <c r="C19" s="340"/>
      <c r="D19" s="340"/>
      <c r="E19" s="340"/>
      <c r="F19" s="341"/>
    </row>
    <row r="21" spans="2:6">
      <c r="B21" s="54" t="s">
        <v>405</v>
      </c>
    </row>
  </sheetData>
  <sheetProtection sheet="1" objects="1" scenarios="1"/>
  <mergeCells count="1">
    <mergeCell ref="A14:G14"/>
  </mergeCells>
  <conditionalFormatting sqref="C3:C4">
    <cfRule type="expression" dxfId="98" priority="3">
      <formula>C3="Data Not Entered On Set-Up Worksheet"</formula>
    </cfRule>
  </conditionalFormatting>
  <conditionalFormatting sqref="C9">
    <cfRule type="expression" dxfId="97" priority="2">
      <formula>C9="Data Not Entered On Set-Up Worksheet"</formula>
    </cfRule>
  </conditionalFormatting>
  <conditionalFormatting sqref="C11">
    <cfRule type="expression" dxfId="96"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3"/>
  <sheetViews>
    <sheetView showGridLines="0" workbookViewId="0">
      <pane xSplit="1" ySplit="15" topLeftCell="I16" activePane="bottomRight" state="frozen"/>
      <selection pane="topRight" activeCell="B1" sqref="B1"/>
      <selection pane="bottomLeft" activeCell="A16" sqref="A16"/>
      <selection pane="bottomRight" activeCell="I16" sqref="I16"/>
    </sheetView>
  </sheetViews>
  <sheetFormatPr defaultRowHeight="12.75"/>
  <cols>
    <col min="1" max="1" width="22.42578125" style="22" customWidth="1"/>
    <col min="2" max="22" width="16.7109375" style="22" customWidth="1"/>
    <col min="23" max="16384" width="9.140625" style="22"/>
  </cols>
  <sheetData>
    <row r="1" spans="1:22" ht="15" customHeight="1">
      <c r="A1" s="36" t="s">
        <v>28</v>
      </c>
      <c r="I1" s="36" t="s">
        <v>332</v>
      </c>
      <c r="P1" s="36" t="s">
        <v>332</v>
      </c>
    </row>
    <row r="2" spans="1:22" ht="15" customHeight="1">
      <c r="A2" s="36" t="s">
        <v>198</v>
      </c>
      <c r="I2" s="358" t="s">
        <v>333</v>
      </c>
      <c r="P2" s="358" t="s">
        <v>333</v>
      </c>
    </row>
    <row r="3" spans="1:22" ht="15" customHeight="1">
      <c r="A3" s="30" t="s">
        <v>196</v>
      </c>
      <c r="C3" s="147">
        <f>IF('Set-Up Worksheet'!F3="","Data Not Entered On Set-Up Worksheet",'Set-Up Worksheet'!F3)</f>
        <v>2017</v>
      </c>
      <c r="J3" s="357">
        <f t="shared" ref="J3:J11" si="0">C3</f>
        <v>2017</v>
      </c>
      <c r="K3" s="355"/>
      <c r="L3" s="355"/>
      <c r="Q3" s="357">
        <f t="shared" ref="Q3:Q11" si="1">C3</f>
        <v>2017</v>
      </c>
    </row>
    <row r="4" spans="1:22" ht="15" customHeight="1">
      <c r="A4" s="30" t="s">
        <v>197</v>
      </c>
      <c r="C4" s="147" t="str">
        <f>IF('Set-Up Worksheet'!F4="","Data Not Entered On Set-Up Worksheet",'Set-Up Worksheet'!F4)</f>
        <v>1st Quarter</v>
      </c>
      <c r="D4" s="32"/>
      <c r="E4" s="32"/>
      <c r="J4" s="355" t="str">
        <f t="shared" si="0"/>
        <v>1st Quarter</v>
      </c>
      <c r="K4" s="355"/>
      <c r="L4" s="355"/>
      <c r="Q4" s="355" t="str">
        <f t="shared" si="1"/>
        <v>1st Quarter</v>
      </c>
    </row>
    <row r="5" spans="1:22" ht="15" customHeight="1">
      <c r="A5" s="30"/>
      <c r="C5" s="32"/>
      <c r="D5" s="32"/>
      <c r="E5" s="32"/>
      <c r="J5" s="355"/>
      <c r="K5" s="355"/>
      <c r="L5" s="355"/>
      <c r="Q5" s="355"/>
    </row>
    <row r="6" spans="1:22" ht="15" customHeight="1">
      <c r="A6" s="30" t="s">
        <v>339</v>
      </c>
      <c r="C6" s="32"/>
      <c r="D6" s="32"/>
      <c r="E6" s="32"/>
      <c r="J6" s="355"/>
      <c r="K6" s="355"/>
      <c r="L6" s="355"/>
      <c r="Q6" s="355"/>
    </row>
    <row r="7" spans="1:22" ht="15" customHeight="1">
      <c r="A7" s="30" t="s">
        <v>410</v>
      </c>
      <c r="C7" s="32"/>
      <c r="D7" s="32"/>
      <c r="E7" s="32"/>
      <c r="I7" s="30" t="s">
        <v>409</v>
      </c>
      <c r="J7" s="355"/>
      <c r="K7" s="355"/>
      <c r="L7" s="355"/>
      <c r="P7" s="30" t="s">
        <v>409</v>
      </c>
      <c r="Q7" s="355"/>
    </row>
    <row r="8" spans="1:22" ht="15" customHeight="1">
      <c r="A8" s="30"/>
      <c r="C8" s="32"/>
      <c r="D8" s="32"/>
      <c r="E8" s="32"/>
      <c r="J8" s="355"/>
      <c r="K8" s="355"/>
      <c r="L8" s="355"/>
      <c r="Q8" s="355"/>
    </row>
    <row r="9" spans="1:22" ht="15" customHeight="1">
      <c r="A9" s="30" t="s">
        <v>29</v>
      </c>
      <c r="C9" s="39" t="str">
        <f>IF('Set-Up Worksheet'!E7="","Data Not Entered On Set-Up Worksheet",'Set-Up Worksheet'!E7)</f>
        <v>Data Not Entered On Set-Up Worksheet</v>
      </c>
      <c r="J9" s="355" t="str">
        <f t="shared" si="0"/>
        <v>Data Not Entered On Set-Up Worksheet</v>
      </c>
      <c r="K9" s="355"/>
      <c r="L9" s="355"/>
      <c r="Q9" s="355" t="str">
        <f t="shared" si="1"/>
        <v>Data Not Entered On Set-Up Worksheet</v>
      </c>
    </row>
    <row r="10" spans="1:22" ht="15" customHeight="1">
      <c r="A10" s="30" t="s">
        <v>9</v>
      </c>
      <c r="C10" s="32" t="s">
        <v>10</v>
      </c>
      <c r="J10" s="355" t="str">
        <f t="shared" si="0"/>
        <v>Behavioral Health</v>
      </c>
      <c r="K10" s="355"/>
      <c r="L10" s="355"/>
      <c r="Q10" s="355" t="str">
        <f t="shared" si="1"/>
        <v>Behavioral Health</v>
      </c>
    </row>
    <row r="11" spans="1:22" ht="15" customHeight="1">
      <c r="A11" s="30" t="s">
        <v>199</v>
      </c>
      <c r="C11" s="40" t="str">
        <f>IF(C4="Data Not Entered On Set-Up Worksheet","Data Not Entered On Set-Up Worksheet",IF(C4="1st Quarter",'Report Schedule'!D49,IF(C4="2nd Quarter",'Report Schedule'!E49,IF(C4="3rd Quarter",'Report Schedule'!F49,IF(C4="4th Quarter",'Report Schedule'!G49,"")))))</f>
        <v>Apr - Jun 2016</v>
      </c>
      <c r="E11" s="79" t="s">
        <v>40</v>
      </c>
      <c r="J11" s="355" t="str">
        <f t="shared" si="0"/>
        <v>Apr - Jun 2016</v>
      </c>
      <c r="K11" s="355"/>
      <c r="L11" s="356" t="s">
        <v>40</v>
      </c>
      <c r="Q11" s="355" t="str">
        <f t="shared" si="1"/>
        <v>Apr - Jun 2016</v>
      </c>
      <c r="S11" s="356" t="s">
        <v>40</v>
      </c>
    </row>
    <row r="12" spans="1:22" ht="15" customHeight="1" thickBot="1">
      <c r="A12" s="30"/>
      <c r="B12" s="40"/>
    </row>
    <row r="13" spans="1:22" ht="18" customHeight="1" thickBot="1">
      <c r="A13" s="226" t="s">
        <v>330</v>
      </c>
      <c r="B13" s="384" t="s">
        <v>39</v>
      </c>
      <c r="C13" s="235"/>
      <c r="D13" s="235"/>
      <c r="E13" s="235"/>
      <c r="F13" s="235"/>
      <c r="G13" s="235"/>
      <c r="H13" s="236"/>
      <c r="I13" s="383" t="s">
        <v>244</v>
      </c>
      <c r="J13" s="231"/>
      <c r="K13" s="231"/>
      <c r="L13" s="231"/>
      <c r="M13" s="231"/>
      <c r="N13" s="231"/>
      <c r="O13" s="232"/>
      <c r="P13" s="384" t="s">
        <v>246</v>
      </c>
      <c r="Q13" s="235"/>
      <c r="R13" s="235"/>
      <c r="S13" s="235"/>
      <c r="T13" s="235"/>
      <c r="U13" s="235"/>
      <c r="V13" s="236"/>
    </row>
    <row r="14" spans="1:22" ht="13.5" thickBot="1">
      <c r="A14" s="30"/>
      <c r="B14" s="37" t="s">
        <v>3</v>
      </c>
      <c r="C14" s="37" t="s">
        <v>3</v>
      </c>
      <c r="D14" s="37"/>
      <c r="E14" s="37"/>
      <c r="F14" s="37" t="s">
        <v>4</v>
      </c>
      <c r="G14" s="37" t="s">
        <v>8</v>
      </c>
      <c r="H14" s="37" t="s">
        <v>8</v>
      </c>
      <c r="I14" s="37" t="s">
        <v>3</v>
      </c>
      <c r="J14" s="37" t="s">
        <v>3</v>
      </c>
      <c r="K14" s="37"/>
      <c r="L14" s="37"/>
      <c r="M14" s="37" t="s">
        <v>4</v>
      </c>
      <c r="N14" s="37" t="s">
        <v>8</v>
      </c>
      <c r="O14" s="37" t="s">
        <v>8</v>
      </c>
      <c r="P14" s="37" t="s">
        <v>3</v>
      </c>
      <c r="Q14" s="37" t="s">
        <v>3</v>
      </c>
      <c r="R14" s="37"/>
      <c r="S14" s="37"/>
      <c r="T14" s="37" t="s">
        <v>4</v>
      </c>
      <c r="U14" s="37" t="s">
        <v>8</v>
      </c>
      <c r="V14" s="37" t="s">
        <v>8</v>
      </c>
    </row>
    <row r="15" spans="1:22" ht="51">
      <c r="A15" s="75" t="s">
        <v>43</v>
      </c>
      <c r="B15" s="350" t="s">
        <v>439</v>
      </c>
      <c r="C15" s="351" t="s">
        <v>440</v>
      </c>
      <c r="D15" s="351" t="s">
        <v>407</v>
      </c>
      <c r="E15" s="351" t="s">
        <v>408</v>
      </c>
      <c r="F15" s="351" t="s">
        <v>30</v>
      </c>
      <c r="G15" s="351" t="s">
        <v>441</v>
      </c>
      <c r="H15" s="352" t="s">
        <v>442</v>
      </c>
      <c r="I15" s="344" t="s">
        <v>439</v>
      </c>
      <c r="J15" s="345" t="s">
        <v>440</v>
      </c>
      <c r="K15" s="345" t="s">
        <v>407</v>
      </c>
      <c r="L15" s="345" t="s">
        <v>408</v>
      </c>
      <c r="M15" s="345" t="s">
        <v>30</v>
      </c>
      <c r="N15" s="345" t="s">
        <v>441</v>
      </c>
      <c r="O15" s="346" t="s">
        <v>442</v>
      </c>
      <c r="P15" s="350" t="s">
        <v>439</v>
      </c>
      <c r="Q15" s="351" t="s">
        <v>440</v>
      </c>
      <c r="R15" s="351" t="s">
        <v>407</v>
      </c>
      <c r="S15" s="351" t="s">
        <v>408</v>
      </c>
      <c r="T15" s="351" t="s">
        <v>30</v>
      </c>
      <c r="U15" s="351" t="s">
        <v>441</v>
      </c>
      <c r="V15" s="352" t="s">
        <v>442</v>
      </c>
    </row>
    <row r="16" spans="1:22" ht="18" customHeight="1">
      <c r="A16" s="76" t="str">
        <f>IF($C$9="Data Not Entered On Set-Up Worksheet","",IF(OR(VLOOKUP($C$9,County_Lookup,2,FALSE)="",VLOOKUP($C$9,County_Lookup,2,FALSE)=0),"",VLOOKUP($C$9,County_Lookup,2,FALSE)))</f>
        <v/>
      </c>
      <c r="B16" s="52"/>
      <c r="C16" s="42"/>
      <c r="D16" s="42"/>
      <c r="E16" s="42"/>
      <c r="F16" s="42"/>
      <c r="G16" s="43" t="str">
        <f>IF($A16="","",IF($F16=0,0,B16/$F16))</f>
        <v/>
      </c>
      <c r="H16" s="347" t="str">
        <f>IF($A16="","",IF($F16=0,0,C16/$F16))</f>
        <v/>
      </c>
      <c r="I16" s="52"/>
      <c r="J16" s="42"/>
      <c r="K16" s="42"/>
      <c r="L16" s="42"/>
      <c r="M16" s="42"/>
      <c r="N16" s="43" t="str">
        <f>IF($A16="","",IF($M16=0,0,I16/$M16))</f>
        <v/>
      </c>
      <c r="O16" s="347" t="str">
        <f>IF($A16="","",IF($M16=0,0,J16/$M16))</f>
        <v/>
      </c>
      <c r="P16" s="52"/>
      <c r="Q16" s="42"/>
      <c r="R16" s="42"/>
      <c r="S16" s="42"/>
      <c r="T16" s="42"/>
      <c r="U16" s="43" t="str">
        <f>IF($A16="","",IF($T16=0,0,P16/$T16))</f>
        <v/>
      </c>
      <c r="V16" s="347" t="str">
        <f>IF($A16="","",IF($T16=0,0,Q16/$T16))</f>
        <v/>
      </c>
    </row>
    <row r="17" spans="1:22" ht="18" customHeight="1">
      <c r="A17" s="77" t="str">
        <f>IF($C$9="Data Not Entered On Set-Up Worksheet","",IF(OR(VLOOKUP($C$9,County_Lookup,3,FALSE)="",VLOOKUP($C$9,County_Lookup,3,FALSE)=0),"",VLOOKUP($C$9,County_Lookup,3,FALSE)))</f>
        <v/>
      </c>
      <c r="B17" s="52"/>
      <c r="C17" s="42"/>
      <c r="D17" s="42"/>
      <c r="E17" s="42"/>
      <c r="F17" s="42"/>
      <c r="G17" s="43" t="str">
        <f t="shared" ref="G17:G40" si="2">IF($A17="","",IF($F17=0,0,B17/$F17))</f>
        <v/>
      </c>
      <c r="H17" s="347" t="str">
        <f t="shared" ref="H17:H40" si="3">IF($A17="","",IF($F17=0,0,C17/$F17))</f>
        <v/>
      </c>
      <c r="I17" s="52"/>
      <c r="J17" s="42"/>
      <c r="K17" s="42"/>
      <c r="L17" s="42"/>
      <c r="M17" s="42"/>
      <c r="N17" s="43" t="str">
        <f t="shared" ref="N17:N40" si="4">IF($A17="","",IF($M17=0,0,I17/$M17))</f>
        <v/>
      </c>
      <c r="O17" s="347" t="str">
        <f t="shared" ref="O17:O40" si="5">IF($A17="","",IF($M17=0,0,J17/$M17))</f>
        <v/>
      </c>
      <c r="P17" s="52"/>
      <c r="Q17" s="42"/>
      <c r="R17" s="42"/>
      <c r="S17" s="42"/>
      <c r="T17" s="42"/>
      <c r="U17" s="43" t="str">
        <f t="shared" ref="U17:U40" si="6">IF($A17="","",IF($T17=0,0,P17/$T17))</f>
        <v/>
      </c>
      <c r="V17" s="347" t="str">
        <f t="shared" ref="V17:V40" si="7">IF($A17="","",IF($T17=0,0,Q17/$T17))</f>
        <v/>
      </c>
    </row>
    <row r="18" spans="1:22" ht="18" customHeight="1">
      <c r="A18" s="77" t="str">
        <f>IF($C$9="Data Not Entered On Set-Up Worksheet","",IF(OR(VLOOKUP($C$9,County_Lookup,4,FALSE)="",VLOOKUP($C$9,County_Lookup,4,FALSE)=0),"",VLOOKUP($C$9,County_Lookup,4,FALSE)))</f>
        <v/>
      </c>
      <c r="B18" s="52"/>
      <c r="C18" s="42"/>
      <c r="D18" s="42"/>
      <c r="E18" s="42"/>
      <c r="F18" s="42"/>
      <c r="G18" s="43" t="str">
        <f t="shared" si="2"/>
        <v/>
      </c>
      <c r="H18" s="347" t="str">
        <f t="shared" si="3"/>
        <v/>
      </c>
      <c r="I18" s="52"/>
      <c r="J18" s="42"/>
      <c r="K18" s="42"/>
      <c r="L18" s="42"/>
      <c r="M18" s="42"/>
      <c r="N18" s="43" t="str">
        <f t="shared" si="4"/>
        <v/>
      </c>
      <c r="O18" s="347" t="str">
        <f t="shared" si="5"/>
        <v/>
      </c>
      <c r="P18" s="52"/>
      <c r="Q18" s="42"/>
      <c r="R18" s="42"/>
      <c r="S18" s="42"/>
      <c r="T18" s="42"/>
      <c r="U18" s="43" t="str">
        <f t="shared" si="6"/>
        <v/>
      </c>
      <c r="V18" s="347" t="str">
        <f t="shared" si="7"/>
        <v/>
      </c>
    </row>
    <row r="19" spans="1:22" ht="18" customHeight="1">
      <c r="A19" s="77" t="str">
        <f>IF($C$9="Data Not Entered On Set-Up Worksheet","",IF(OR(VLOOKUP($C$9,County_Lookup,5,FALSE)="",VLOOKUP($C$9,County_Lookup,5,FALSE)=0),"",VLOOKUP($C$9,County_Lookup,5,FALSE)))</f>
        <v/>
      </c>
      <c r="B19" s="52"/>
      <c r="C19" s="42"/>
      <c r="D19" s="42"/>
      <c r="E19" s="42"/>
      <c r="F19" s="42"/>
      <c r="G19" s="43" t="str">
        <f t="shared" si="2"/>
        <v/>
      </c>
      <c r="H19" s="347" t="str">
        <f t="shared" si="3"/>
        <v/>
      </c>
      <c r="I19" s="52"/>
      <c r="J19" s="42"/>
      <c r="K19" s="42"/>
      <c r="L19" s="42"/>
      <c r="M19" s="42"/>
      <c r="N19" s="43" t="str">
        <f t="shared" si="4"/>
        <v/>
      </c>
      <c r="O19" s="347" t="str">
        <f t="shared" si="5"/>
        <v/>
      </c>
      <c r="P19" s="52"/>
      <c r="Q19" s="42"/>
      <c r="R19" s="42"/>
      <c r="S19" s="42"/>
      <c r="T19" s="42"/>
      <c r="U19" s="43" t="str">
        <f t="shared" si="6"/>
        <v/>
      </c>
      <c r="V19" s="347" t="str">
        <f t="shared" si="7"/>
        <v/>
      </c>
    </row>
    <row r="20" spans="1:22" ht="18" customHeight="1">
      <c r="A20" s="77" t="str">
        <f>IF($C$9="Data Not Entered On Set-Up Worksheet","",IF(OR(VLOOKUP($C$9,County_Lookup,6,FALSE)="",VLOOKUP($C$9,County_Lookup,6,FALSE)=0),"",VLOOKUP($C$9,County_Lookup,6,FALSE)))</f>
        <v/>
      </c>
      <c r="B20" s="52"/>
      <c r="C20" s="42"/>
      <c r="D20" s="42"/>
      <c r="E20" s="42"/>
      <c r="F20" s="42"/>
      <c r="G20" s="43" t="str">
        <f t="shared" si="2"/>
        <v/>
      </c>
      <c r="H20" s="347" t="str">
        <f t="shared" si="3"/>
        <v/>
      </c>
      <c r="I20" s="52"/>
      <c r="J20" s="42"/>
      <c r="K20" s="42"/>
      <c r="L20" s="42"/>
      <c r="M20" s="42"/>
      <c r="N20" s="43" t="str">
        <f t="shared" si="4"/>
        <v/>
      </c>
      <c r="O20" s="347" t="str">
        <f t="shared" si="5"/>
        <v/>
      </c>
      <c r="P20" s="52"/>
      <c r="Q20" s="42"/>
      <c r="R20" s="42"/>
      <c r="S20" s="42"/>
      <c r="T20" s="42"/>
      <c r="U20" s="43" t="str">
        <f t="shared" si="6"/>
        <v/>
      </c>
      <c r="V20" s="347" t="str">
        <f t="shared" si="7"/>
        <v/>
      </c>
    </row>
    <row r="21" spans="1:22" ht="18" customHeight="1">
      <c r="A21" s="77" t="str">
        <f>IF($C$9="Data Not Entered On Set-Up Worksheet","",IF(OR(VLOOKUP($C$9,County_Lookup,7,FALSE)="",VLOOKUP($C$9,County_Lookup,7,FALSE)=0),"",VLOOKUP($C$9,County_Lookup,7,FALSE)))</f>
        <v/>
      </c>
      <c r="B21" s="52"/>
      <c r="C21" s="42"/>
      <c r="D21" s="42"/>
      <c r="E21" s="42"/>
      <c r="F21" s="42"/>
      <c r="G21" s="43" t="str">
        <f t="shared" si="2"/>
        <v/>
      </c>
      <c r="H21" s="347" t="str">
        <f t="shared" si="3"/>
        <v/>
      </c>
      <c r="I21" s="52"/>
      <c r="J21" s="42"/>
      <c r="K21" s="42"/>
      <c r="L21" s="42"/>
      <c r="M21" s="42"/>
      <c r="N21" s="43" t="str">
        <f t="shared" si="4"/>
        <v/>
      </c>
      <c r="O21" s="347" t="str">
        <f t="shared" si="5"/>
        <v/>
      </c>
      <c r="P21" s="52"/>
      <c r="Q21" s="42"/>
      <c r="R21" s="42"/>
      <c r="S21" s="42"/>
      <c r="T21" s="42"/>
      <c r="U21" s="43" t="str">
        <f t="shared" si="6"/>
        <v/>
      </c>
      <c r="V21" s="347" t="str">
        <f t="shared" si="7"/>
        <v/>
      </c>
    </row>
    <row r="22" spans="1:22" ht="18" customHeight="1">
      <c r="A22" s="76" t="str">
        <f>IF($C$9="Data Not Entered On Set-Up Worksheet","",IF(OR(VLOOKUP($C$9,County_Lookup,8,FALSE)="",VLOOKUP($C$9,County_Lookup,8,FALSE)=0),"",VLOOKUP($C$9,County_Lookup,8,FALSE)))</f>
        <v/>
      </c>
      <c r="B22" s="52"/>
      <c r="C22" s="42"/>
      <c r="D22" s="42"/>
      <c r="E22" s="42"/>
      <c r="F22" s="42"/>
      <c r="G22" s="43" t="str">
        <f t="shared" si="2"/>
        <v/>
      </c>
      <c r="H22" s="347" t="str">
        <f t="shared" si="3"/>
        <v/>
      </c>
      <c r="I22" s="52"/>
      <c r="J22" s="42"/>
      <c r="K22" s="42"/>
      <c r="L22" s="42"/>
      <c r="M22" s="42"/>
      <c r="N22" s="43" t="str">
        <f t="shared" si="4"/>
        <v/>
      </c>
      <c r="O22" s="347" t="str">
        <f t="shared" si="5"/>
        <v/>
      </c>
      <c r="P22" s="52"/>
      <c r="Q22" s="42"/>
      <c r="R22" s="42"/>
      <c r="S22" s="42"/>
      <c r="T22" s="42"/>
      <c r="U22" s="43" t="str">
        <f t="shared" si="6"/>
        <v/>
      </c>
      <c r="V22" s="347" t="str">
        <f t="shared" si="7"/>
        <v/>
      </c>
    </row>
    <row r="23" spans="1:22" ht="18" customHeight="1">
      <c r="A23" s="77" t="str">
        <f>IF($C$9="Data Not Entered On Set-Up Worksheet","",IF(OR(VLOOKUP($C$9,County_Lookup,9,FALSE)="",VLOOKUP($C$9,County_Lookup,9,FALSE)=0),"",VLOOKUP($C$9,County_Lookup,9,FALSE)))</f>
        <v/>
      </c>
      <c r="B23" s="52"/>
      <c r="C23" s="42"/>
      <c r="D23" s="42"/>
      <c r="E23" s="42"/>
      <c r="F23" s="42"/>
      <c r="G23" s="43" t="str">
        <f t="shared" si="2"/>
        <v/>
      </c>
      <c r="H23" s="347" t="str">
        <f t="shared" si="3"/>
        <v/>
      </c>
      <c r="I23" s="52"/>
      <c r="J23" s="42"/>
      <c r="K23" s="42"/>
      <c r="L23" s="42"/>
      <c r="M23" s="42"/>
      <c r="N23" s="43" t="str">
        <f t="shared" si="4"/>
        <v/>
      </c>
      <c r="O23" s="347" t="str">
        <f t="shared" si="5"/>
        <v/>
      </c>
      <c r="P23" s="52"/>
      <c r="Q23" s="42"/>
      <c r="R23" s="42"/>
      <c r="S23" s="42"/>
      <c r="T23" s="42"/>
      <c r="U23" s="43" t="str">
        <f t="shared" si="6"/>
        <v/>
      </c>
      <c r="V23" s="347" t="str">
        <f t="shared" si="7"/>
        <v/>
      </c>
    </row>
    <row r="24" spans="1:22" ht="18" customHeight="1">
      <c r="A24" s="77" t="str">
        <f>IF($C$9="Data Not Entered On Set-Up Worksheet","",IF(OR(VLOOKUP($C$9,County_Lookup,10,FALSE)="",VLOOKUP($C$9,County_Lookup,10,FALSE)=0),"",VLOOKUP($C$9,County_Lookup,10,FALSE)))</f>
        <v/>
      </c>
      <c r="B24" s="52"/>
      <c r="C24" s="42"/>
      <c r="D24" s="42"/>
      <c r="E24" s="42"/>
      <c r="F24" s="42"/>
      <c r="G24" s="43" t="str">
        <f t="shared" si="2"/>
        <v/>
      </c>
      <c r="H24" s="347" t="str">
        <f t="shared" si="3"/>
        <v/>
      </c>
      <c r="I24" s="52"/>
      <c r="J24" s="42"/>
      <c r="K24" s="42"/>
      <c r="L24" s="42"/>
      <c r="M24" s="42"/>
      <c r="N24" s="43" t="str">
        <f t="shared" si="4"/>
        <v/>
      </c>
      <c r="O24" s="347" t="str">
        <f t="shared" si="5"/>
        <v/>
      </c>
      <c r="P24" s="52"/>
      <c r="Q24" s="42"/>
      <c r="R24" s="42"/>
      <c r="S24" s="42"/>
      <c r="T24" s="42"/>
      <c r="U24" s="43" t="str">
        <f t="shared" si="6"/>
        <v/>
      </c>
      <c r="V24" s="347" t="str">
        <f t="shared" si="7"/>
        <v/>
      </c>
    </row>
    <row r="25" spans="1:22" ht="18" customHeight="1">
      <c r="A25" s="77" t="str">
        <f>IF($C$9="Data Not Entered On Set-Up Worksheet","",IF(OR(VLOOKUP($C$9,County_Lookup,11,FALSE)="",VLOOKUP($C$9,County_Lookup,11,FALSE)=0),"",VLOOKUP($C$9,County_Lookup,11,FALSE)))</f>
        <v/>
      </c>
      <c r="B25" s="52"/>
      <c r="C25" s="42"/>
      <c r="D25" s="42"/>
      <c r="E25" s="42"/>
      <c r="F25" s="42"/>
      <c r="G25" s="43" t="str">
        <f t="shared" si="2"/>
        <v/>
      </c>
      <c r="H25" s="347" t="str">
        <f t="shared" si="3"/>
        <v/>
      </c>
      <c r="I25" s="52"/>
      <c r="J25" s="42"/>
      <c r="K25" s="42"/>
      <c r="L25" s="42"/>
      <c r="M25" s="42"/>
      <c r="N25" s="43" t="str">
        <f t="shared" si="4"/>
        <v/>
      </c>
      <c r="O25" s="347" t="str">
        <f t="shared" si="5"/>
        <v/>
      </c>
      <c r="P25" s="52"/>
      <c r="Q25" s="42"/>
      <c r="R25" s="42"/>
      <c r="S25" s="42"/>
      <c r="T25" s="42"/>
      <c r="U25" s="43" t="str">
        <f t="shared" si="6"/>
        <v/>
      </c>
      <c r="V25" s="347" t="str">
        <f t="shared" si="7"/>
        <v/>
      </c>
    </row>
    <row r="26" spans="1:22" ht="18" customHeight="1">
      <c r="A26" s="77" t="str">
        <f>IF($C$9="Data Not Entered On Set-Up Worksheet","",IF(OR(VLOOKUP($C$9,County_Lookup,12,FALSE)="",VLOOKUP($C$9,County_Lookup,12,FALSE)=0),"",VLOOKUP($C$9,County_Lookup,12,FALSE)))</f>
        <v/>
      </c>
      <c r="B26" s="52"/>
      <c r="C26" s="42"/>
      <c r="D26" s="42"/>
      <c r="E26" s="42"/>
      <c r="F26" s="42"/>
      <c r="G26" s="43" t="str">
        <f t="shared" si="2"/>
        <v/>
      </c>
      <c r="H26" s="347" t="str">
        <f t="shared" si="3"/>
        <v/>
      </c>
      <c r="I26" s="52"/>
      <c r="J26" s="42"/>
      <c r="K26" s="42"/>
      <c r="L26" s="42"/>
      <c r="M26" s="42"/>
      <c r="N26" s="43" t="str">
        <f t="shared" si="4"/>
        <v/>
      </c>
      <c r="O26" s="347" t="str">
        <f t="shared" si="5"/>
        <v/>
      </c>
      <c r="P26" s="52"/>
      <c r="Q26" s="42"/>
      <c r="R26" s="42"/>
      <c r="S26" s="42"/>
      <c r="T26" s="42"/>
      <c r="U26" s="43" t="str">
        <f t="shared" si="6"/>
        <v/>
      </c>
      <c r="V26" s="347" t="str">
        <f t="shared" si="7"/>
        <v/>
      </c>
    </row>
    <row r="27" spans="1:22" ht="18" customHeight="1">
      <c r="A27" s="77" t="str">
        <f>IF($C$9="Data Not Entered On Set-Up Worksheet","",IF(OR(VLOOKUP($C$9,County_Lookup,13,FALSE)="",VLOOKUP($C$9,County_Lookup,13,FALSE)=0),"",VLOOKUP($C$9,County_Lookup,13,FALSE)))</f>
        <v/>
      </c>
      <c r="B27" s="52"/>
      <c r="C27" s="42"/>
      <c r="D27" s="42"/>
      <c r="E27" s="42"/>
      <c r="F27" s="42"/>
      <c r="G27" s="43" t="str">
        <f t="shared" si="2"/>
        <v/>
      </c>
      <c r="H27" s="347" t="str">
        <f t="shared" si="3"/>
        <v/>
      </c>
      <c r="I27" s="52"/>
      <c r="J27" s="42"/>
      <c r="K27" s="42"/>
      <c r="L27" s="42"/>
      <c r="M27" s="42"/>
      <c r="N27" s="43" t="str">
        <f t="shared" si="4"/>
        <v/>
      </c>
      <c r="O27" s="347" t="str">
        <f t="shared" si="5"/>
        <v/>
      </c>
      <c r="P27" s="52"/>
      <c r="Q27" s="42"/>
      <c r="R27" s="42"/>
      <c r="S27" s="42"/>
      <c r="T27" s="42"/>
      <c r="U27" s="43" t="str">
        <f t="shared" si="6"/>
        <v/>
      </c>
      <c r="V27" s="347" t="str">
        <f t="shared" si="7"/>
        <v/>
      </c>
    </row>
    <row r="28" spans="1:22" ht="18" customHeight="1">
      <c r="A28" s="77" t="str">
        <f>IF($C$9="Data Not Entered On Set-Up Worksheet","",IF(OR(VLOOKUP($C$9,County_Lookup,14,FALSE)="",VLOOKUP($C$9,County_Lookup,14,FALSE)=0),"",VLOOKUP($C$9,County_Lookup,14,FALSE)))</f>
        <v/>
      </c>
      <c r="B28" s="52"/>
      <c r="C28" s="42"/>
      <c r="D28" s="42"/>
      <c r="E28" s="42"/>
      <c r="F28" s="42"/>
      <c r="G28" s="43" t="str">
        <f t="shared" si="2"/>
        <v/>
      </c>
      <c r="H28" s="347" t="str">
        <f t="shared" si="3"/>
        <v/>
      </c>
      <c r="I28" s="52"/>
      <c r="J28" s="42"/>
      <c r="K28" s="42"/>
      <c r="L28" s="42"/>
      <c r="M28" s="42"/>
      <c r="N28" s="43" t="str">
        <f t="shared" si="4"/>
        <v/>
      </c>
      <c r="O28" s="347" t="str">
        <f t="shared" si="5"/>
        <v/>
      </c>
      <c r="P28" s="52"/>
      <c r="Q28" s="42"/>
      <c r="R28" s="42"/>
      <c r="S28" s="42"/>
      <c r="T28" s="42"/>
      <c r="U28" s="43" t="str">
        <f t="shared" si="6"/>
        <v/>
      </c>
      <c r="V28" s="347" t="str">
        <f t="shared" si="7"/>
        <v/>
      </c>
    </row>
    <row r="29" spans="1:22" ht="18" customHeight="1">
      <c r="A29" s="76" t="str">
        <f>IF($C$9="Data Not Entered On Set-Up Worksheet","",IF(OR(VLOOKUP($C$9,County_Lookup,15,FALSE)="",VLOOKUP($C$9,County_Lookup,15,FALSE)=0),"",VLOOKUP($C$9,County_Lookup,15,FALSE)))</f>
        <v/>
      </c>
      <c r="B29" s="52"/>
      <c r="C29" s="42"/>
      <c r="D29" s="42"/>
      <c r="E29" s="42"/>
      <c r="F29" s="42"/>
      <c r="G29" s="43" t="str">
        <f t="shared" si="2"/>
        <v/>
      </c>
      <c r="H29" s="347" t="str">
        <f t="shared" si="3"/>
        <v/>
      </c>
      <c r="I29" s="52"/>
      <c r="J29" s="42"/>
      <c r="K29" s="42"/>
      <c r="L29" s="42"/>
      <c r="M29" s="42"/>
      <c r="N29" s="43" t="str">
        <f t="shared" si="4"/>
        <v/>
      </c>
      <c r="O29" s="347" t="str">
        <f t="shared" si="5"/>
        <v/>
      </c>
      <c r="P29" s="52"/>
      <c r="Q29" s="42"/>
      <c r="R29" s="42"/>
      <c r="S29" s="42"/>
      <c r="T29" s="42"/>
      <c r="U29" s="43" t="str">
        <f t="shared" si="6"/>
        <v/>
      </c>
      <c r="V29" s="347" t="str">
        <f t="shared" si="7"/>
        <v/>
      </c>
    </row>
    <row r="30" spans="1:22" ht="18" customHeight="1">
      <c r="A30" s="77" t="str">
        <f>IF($C$9="Data Not Entered On Set-Up Worksheet","",IF(OR(VLOOKUP($C$9,County_Lookup,16,FALSE)="",VLOOKUP($C$9,County_Lookup,16,FALSE)=0),"",VLOOKUP($C$9,County_Lookup,16,FALSE)))</f>
        <v/>
      </c>
      <c r="B30" s="52"/>
      <c r="C30" s="42"/>
      <c r="D30" s="42"/>
      <c r="E30" s="42"/>
      <c r="F30" s="42"/>
      <c r="G30" s="43" t="str">
        <f t="shared" si="2"/>
        <v/>
      </c>
      <c r="H30" s="347" t="str">
        <f t="shared" si="3"/>
        <v/>
      </c>
      <c r="I30" s="52"/>
      <c r="J30" s="42"/>
      <c r="K30" s="42"/>
      <c r="L30" s="42"/>
      <c r="M30" s="42"/>
      <c r="N30" s="43" t="str">
        <f t="shared" si="4"/>
        <v/>
      </c>
      <c r="O30" s="347" t="str">
        <f t="shared" si="5"/>
        <v/>
      </c>
      <c r="P30" s="52"/>
      <c r="Q30" s="42"/>
      <c r="R30" s="42"/>
      <c r="S30" s="42"/>
      <c r="T30" s="42"/>
      <c r="U30" s="43" t="str">
        <f t="shared" si="6"/>
        <v/>
      </c>
      <c r="V30" s="347" t="str">
        <f t="shared" si="7"/>
        <v/>
      </c>
    </row>
    <row r="31" spans="1:22" ht="18" customHeight="1">
      <c r="A31" s="77" t="str">
        <f>IF($C$9="Data Not Entered On Set-Up Worksheet","",IF(OR(VLOOKUP($C$9,County_Lookup,17,FALSE)="",VLOOKUP($C$9,County_Lookup,17,FALSE)=0),"",VLOOKUP($C$9,County_Lookup,17,FALSE)))</f>
        <v/>
      </c>
      <c r="B31" s="52"/>
      <c r="C31" s="42"/>
      <c r="D31" s="42"/>
      <c r="E31" s="42"/>
      <c r="F31" s="42"/>
      <c r="G31" s="43" t="str">
        <f t="shared" si="2"/>
        <v/>
      </c>
      <c r="H31" s="347" t="str">
        <f t="shared" si="3"/>
        <v/>
      </c>
      <c r="I31" s="52"/>
      <c r="J31" s="42"/>
      <c r="K31" s="42"/>
      <c r="L31" s="42"/>
      <c r="M31" s="42"/>
      <c r="N31" s="43" t="str">
        <f t="shared" si="4"/>
        <v/>
      </c>
      <c r="O31" s="347" t="str">
        <f t="shared" si="5"/>
        <v/>
      </c>
      <c r="P31" s="52"/>
      <c r="Q31" s="42"/>
      <c r="R31" s="42"/>
      <c r="S31" s="42"/>
      <c r="T31" s="42"/>
      <c r="U31" s="43" t="str">
        <f t="shared" si="6"/>
        <v/>
      </c>
      <c r="V31" s="347" t="str">
        <f t="shared" si="7"/>
        <v/>
      </c>
    </row>
    <row r="32" spans="1:22" ht="18" customHeight="1">
      <c r="A32" s="77" t="str">
        <f>IF($C$9="Data Not Entered On Set-Up Worksheet","",IF(OR(VLOOKUP($C$9,County_Lookup,18,FALSE)="",VLOOKUP($C$9,County_Lookup,18,FALSE)=0),"",VLOOKUP($C$9,County_Lookup,18,FALSE)))</f>
        <v/>
      </c>
      <c r="B32" s="52"/>
      <c r="C32" s="42"/>
      <c r="D32" s="42"/>
      <c r="E32" s="42"/>
      <c r="F32" s="42"/>
      <c r="G32" s="43" t="str">
        <f t="shared" si="2"/>
        <v/>
      </c>
      <c r="H32" s="347" t="str">
        <f t="shared" si="3"/>
        <v/>
      </c>
      <c r="I32" s="52"/>
      <c r="J32" s="42"/>
      <c r="K32" s="42"/>
      <c r="L32" s="42"/>
      <c r="M32" s="42"/>
      <c r="N32" s="43" t="str">
        <f t="shared" si="4"/>
        <v/>
      </c>
      <c r="O32" s="347" t="str">
        <f t="shared" si="5"/>
        <v/>
      </c>
      <c r="P32" s="52"/>
      <c r="Q32" s="42"/>
      <c r="R32" s="42"/>
      <c r="S32" s="42"/>
      <c r="T32" s="42"/>
      <c r="U32" s="43" t="str">
        <f t="shared" si="6"/>
        <v/>
      </c>
      <c r="V32" s="347" t="str">
        <f t="shared" si="7"/>
        <v/>
      </c>
    </row>
    <row r="33" spans="1:22" ht="18" customHeight="1">
      <c r="A33" s="77" t="str">
        <f>IF($C$9="Data Not Entered On Set-Up Worksheet","",IF(OR(VLOOKUP($C$9,County_Lookup,19,FALSE)="",VLOOKUP($C$9,County_Lookup,19,FALSE)=0),"",VLOOKUP($C$9,County_Lookup,19,FALSE)))</f>
        <v/>
      </c>
      <c r="B33" s="52"/>
      <c r="C33" s="42"/>
      <c r="D33" s="42"/>
      <c r="E33" s="42"/>
      <c r="F33" s="42"/>
      <c r="G33" s="43" t="str">
        <f t="shared" si="2"/>
        <v/>
      </c>
      <c r="H33" s="347" t="str">
        <f t="shared" si="3"/>
        <v/>
      </c>
      <c r="I33" s="52"/>
      <c r="J33" s="42"/>
      <c r="K33" s="42"/>
      <c r="L33" s="42"/>
      <c r="M33" s="42"/>
      <c r="N33" s="43" t="str">
        <f t="shared" si="4"/>
        <v/>
      </c>
      <c r="O33" s="347" t="str">
        <f t="shared" si="5"/>
        <v/>
      </c>
      <c r="P33" s="52"/>
      <c r="Q33" s="42"/>
      <c r="R33" s="42"/>
      <c r="S33" s="42"/>
      <c r="T33" s="42"/>
      <c r="U33" s="43" t="str">
        <f t="shared" si="6"/>
        <v/>
      </c>
      <c r="V33" s="347" t="str">
        <f t="shared" si="7"/>
        <v/>
      </c>
    </row>
    <row r="34" spans="1:22" ht="18" customHeight="1">
      <c r="A34" s="77" t="str">
        <f>IF($C$9="Data Not Entered On Set-Up Worksheet","",IF(OR(VLOOKUP($C$9,County_Lookup,20,FALSE)="",VLOOKUP($C$9,County_Lookup,20,FALSE)=0),"",VLOOKUP($C$9,County_Lookup,20,FALSE)))</f>
        <v/>
      </c>
      <c r="B34" s="52"/>
      <c r="C34" s="42"/>
      <c r="D34" s="42"/>
      <c r="E34" s="42"/>
      <c r="F34" s="42"/>
      <c r="G34" s="43" t="str">
        <f t="shared" si="2"/>
        <v/>
      </c>
      <c r="H34" s="347" t="str">
        <f t="shared" si="3"/>
        <v/>
      </c>
      <c r="I34" s="52"/>
      <c r="J34" s="42"/>
      <c r="K34" s="42"/>
      <c r="L34" s="42"/>
      <c r="M34" s="42"/>
      <c r="N34" s="43" t="str">
        <f t="shared" si="4"/>
        <v/>
      </c>
      <c r="O34" s="347" t="str">
        <f t="shared" si="5"/>
        <v/>
      </c>
      <c r="P34" s="52"/>
      <c r="Q34" s="42"/>
      <c r="R34" s="42"/>
      <c r="S34" s="42"/>
      <c r="T34" s="42"/>
      <c r="U34" s="43" t="str">
        <f t="shared" si="6"/>
        <v/>
      </c>
      <c r="V34" s="347" t="str">
        <f t="shared" si="7"/>
        <v/>
      </c>
    </row>
    <row r="35" spans="1:22" ht="18" customHeight="1">
      <c r="A35" s="77" t="str">
        <f>IF($C$9="Data Not Entered On Set-Up Worksheet","",IF(OR(VLOOKUP($C$9,County_Lookup,21,FALSE)="",VLOOKUP($C$9,County_Lookup,21,FALSE)=0),"",VLOOKUP($C$9,County_Lookup,21,FALSE)))</f>
        <v/>
      </c>
      <c r="B35" s="52"/>
      <c r="C35" s="42"/>
      <c r="D35" s="42"/>
      <c r="E35" s="42"/>
      <c r="F35" s="42"/>
      <c r="G35" s="43" t="str">
        <f t="shared" si="2"/>
        <v/>
      </c>
      <c r="H35" s="347" t="str">
        <f t="shared" si="3"/>
        <v/>
      </c>
      <c r="I35" s="52"/>
      <c r="J35" s="42"/>
      <c r="K35" s="42"/>
      <c r="L35" s="42"/>
      <c r="M35" s="42"/>
      <c r="N35" s="43" t="str">
        <f t="shared" si="4"/>
        <v/>
      </c>
      <c r="O35" s="347" t="str">
        <f t="shared" si="5"/>
        <v/>
      </c>
      <c r="P35" s="52"/>
      <c r="Q35" s="42"/>
      <c r="R35" s="42"/>
      <c r="S35" s="42"/>
      <c r="T35" s="42"/>
      <c r="U35" s="43" t="str">
        <f t="shared" si="6"/>
        <v/>
      </c>
      <c r="V35" s="347" t="str">
        <f t="shared" si="7"/>
        <v/>
      </c>
    </row>
    <row r="36" spans="1:22" ht="18" customHeight="1">
      <c r="A36" s="76" t="str">
        <f>IF($C$9="Data Not Entered On Set-Up Worksheet","",IF(OR(VLOOKUP($C$9,County_Lookup,22,FALSE)="",VLOOKUP($C$9,County_Lookup,22,FALSE)=0),"",VLOOKUP($C$9,County_Lookup,22,FALSE)))</f>
        <v/>
      </c>
      <c r="B36" s="52"/>
      <c r="C36" s="42"/>
      <c r="D36" s="42"/>
      <c r="E36" s="42"/>
      <c r="F36" s="42"/>
      <c r="G36" s="43" t="str">
        <f t="shared" si="2"/>
        <v/>
      </c>
      <c r="H36" s="347" t="str">
        <f t="shared" si="3"/>
        <v/>
      </c>
      <c r="I36" s="52"/>
      <c r="J36" s="42"/>
      <c r="K36" s="42"/>
      <c r="L36" s="42"/>
      <c r="M36" s="42"/>
      <c r="N36" s="43" t="str">
        <f t="shared" si="4"/>
        <v/>
      </c>
      <c r="O36" s="347" t="str">
        <f t="shared" si="5"/>
        <v/>
      </c>
      <c r="P36" s="52"/>
      <c r="Q36" s="42"/>
      <c r="R36" s="42"/>
      <c r="S36" s="42"/>
      <c r="T36" s="42"/>
      <c r="U36" s="43" t="str">
        <f t="shared" si="6"/>
        <v/>
      </c>
      <c r="V36" s="347" t="str">
        <f t="shared" si="7"/>
        <v/>
      </c>
    </row>
    <row r="37" spans="1:22" ht="18" customHeight="1">
      <c r="A37" s="77" t="str">
        <f>IF($C$9="Data Not Entered On Set-Up Worksheet","",IF(OR(VLOOKUP($C$9,County_Lookup,23,FALSE)="",VLOOKUP($C$9,County_Lookup,23,FALSE)=0),"",VLOOKUP($C$9,County_Lookup,23,FALSE)))</f>
        <v/>
      </c>
      <c r="B37" s="52"/>
      <c r="C37" s="42"/>
      <c r="D37" s="42"/>
      <c r="E37" s="42"/>
      <c r="F37" s="42"/>
      <c r="G37" s="43" t="str">
        <f t="shared" si="2"/>
        <v/>
      </c>
      <c r="H37" s="347" t="str">
        <f t="shared" si="3"/>
        <v/>
      </c>
      <c r="I37" s="52"/>
      <c r="J37" s="42"/>
      <c r="K37" s="42"/>
      <c r="L37" s="42"/>
      <c r="M37" s="42"/>
      <c r="N37" s="43" t="str">
        <f t="shared" si="4"/>
        <v/>
      </c>
      <c r="O37" s="347" t="str">
        <f t="shared" si="5"/>
        <v/>
      </c>
      <c r="P37" s="52"/>
      <c r="Q37" s="42"/>
      <c r="R37" s="42"/>
      <c r="S37" s="42"/>
      <c r="T37" s="42"/>
      <c r="U37" s="43" t="str">
        <f t="shared" si="6"/>
        <v/>
      </c>
      <c r="V37" s="347" t="str">
        <f t="shared" si="7"/>
        <v/>
      </c>
    </row>
    <row r="38" spans="1:22" ht="18" customHeight="1">
      <c r="A38" s="77" t="str">
        <f>IF($C$9="Data Not Entered On Set-Up Worksheet","",IF(OR(VLOOKUP($C$9,County_Lookup,24,FALSE)="",VLOOKUP($C$9,County_Lookup,24,FALSE)=0),"",VLOOKUP($C$9,County_Lookup,24,FALSE)))</f>
        <v/>
      </c>
      <c r="B38" s="52"/>
      <c r="C38" s="42"/>
      <c r="D38" s="42"/>
      <c r="E38" s="42"/>
      <c r="F38" s="42"/>
      <c r="G38" s="43" t="str">
        <f t="shared" ref="G38" si="8">IF($A38="","",IF($F38=0,0,B38/$F38))</f>
        <v/>
      </c>
      <c r="H38" s="347" t="str">
        <f t="shared" ref="H38" si="9">IF($A38="","",IF($F38=0,0,C38/$F38))</f>
        <v/>
      </c>
      <c r="I38" s="52"/>
      <c r="J38" s="42"/>
      <c r="K38" s="42"/>
      <c r="L38" s="42"/>
      <c r="M38" s="42"/>
      <c r="N38" s="43" t="str">
        <f t="shared" ref="N38" si="10">IF($A38="","",IF($M38=0,0,I38/$M38))</f>
        <v/>
      </c>
      <c r="O38" s="347" t="str">
        <f t="shared" ref="O38" si="11">IF($A38="","",IF($M38=0,0,J38/$M38))</f>
        <v/>
      </c>
      <c r="P38" s="52"/>
      <c r="Q38" s="42"/>
      <c r="R38" s="42"/>
      <c r="S38" s="42"/>
      <c r="T38" s="42"/>
      <c r="U38" s="43" t="str">
        <f t="shared" ref="U38" si="12">IF($A38="","",IF($T38=0,0,P38/$T38))</f>
        <v/>
      </c>
      <c r="V38" s="347" t="str">
        <f t="shared" ref="V38" si="13">IF($A38="","",IF($T38=0,0,Q38/$T38))</f>
        <v/>
      </c>
    </row>
    <row r="39" spans="1:22" ht="18" customHeight="1">
      <c r="A39" s="77" t="str">
        <f>IF($C$9="Data Not Entered On Set-Up Worksheet","",IF(OR(VLOOKUP($C$9,County_Lookup,25,FALSE)="",VLOOKUP($C$9,County_Lookup,25,FALSE)=0),"",VLOOKUP($C$9,County_Lookup,25,FALSE)))</f>
        <v/>
      </c>
      <c r="B39" s="52"/>
      <c r="C39" s="42"/>
      <c r="D39" s="42"/>
      <c r="E39" s="42"/>
      <c r="F39" s="42"/>
      <c r="G39" s="43" t="str">
        <f t="shared" si="2"/>
        <v/>
      </c>
      <c r="H39" s="347" t="str">
        <f t="shared" si="3"/>
        <v/>
      </c>
      <c r="I39" s="52"/>
      <c r="J39" s="42"/>
      <c r="K39" s="42"/>
      <c r="L39" s="42"/>
      <c r="M39" s="42"/>
      <c r="N39" s="43" t="str">
        <f t="shared" si="4"/>
        <v/>
      </c>
      <c r="O39" s="347" t="str">
        <f t="shared" si="5"/>
        <v/>
      </c>
      <c r="P39" s="52"/>
      <c r="Q39" s="42"/>
      <c r="R39" s="42"/>
      <c r="S39" s="42"/>
      <c r="T39" s="42"/>
      <c r="U39" s="43" t="str">
        <f t="shared" si="6"/>
        <v/>
      </c>
      <c r="V39" s="347" t="str">
        <f t="shared" si="7"/>
        <v/>
      </c>
    </row>
    <row r="40" spans="1:22" ht="18" customHeight="1" thickBot="1">
      <c r="A40" s="78" t="s">
        <v>0</v>
      </c>
      <c r="B40" s="348">
        <f>SUM(B16:B39)</f>
        <v>0</v>
      </c>
      <c r="C40" s="349">
        <f t="shared" ref="C40:F40" si="14">SUM(C16:C39)</f>
        <v>0</v>
      </c>
      <c r="D40" s="349">
        <f t="shared" si="14"/>
        <v>0</v>
      </c>
      <c r="E40" s="349">
        <f t="shared" si="14"/>
        <v>0</v>
      </c>
      <c r="F40" s="349">
        <f t="shared" si="14"/>
        <v>0</v>
      </c>
      <c r="G40" s="353">
        <f t="shared" si="2"/>
        <v>0</v>
      </c>
      <c r="H40" s="354">
        <f t="shared" si="3"/>
        <v>0</v>
      </c>
      <c r="I40" s="348">
        <f>SUM(I16:I39)</f>
        <v>0</v>
      </c>
      <c r="J40" s="349">
        <f t="shared" ref="J40" si="15">SUM(J16:J39)</f>
        <v>0</v>
      </c>
      <c r="K40" s="349">
        <f t="shared" ref="K40" si="16">SUM(K16:K39)</f>
        <v>0</v>
      </c>
      <c r="L40" s="349">
        <f t="shared" ref="L40" si="17">SUM(L16:L39)</f>
        <v>0</v>
      </c>
      <c r="M40" s="349">
        <f t="shared" ref="M40" si="18">SUM(M16:M39)</f>
        <v>0</v>
      </c>
      <c r="N40" s="353">
        <f t="shared" si="4"/>
        <v>0</v>
      </c>
      <c r="O40" s="354">
        <f t="shared" si="5"/>
        <v>0</v>
      </c>
      <c r="P40" s="348">
        <f>SUM(P16:P39)</f>
        <v>0</v>
      </c>
      <c r="Q40" s="349">
        <f t="shared" ref="Q40" si="19">SUM(Q16:Q39)</f>
        <v>0</v>
      </c>
      <c r="R40" s="349">
        <f t="shared" ref="R40" si="20">SUM(R16:R39)</f>
        <v>0</v>
      </c>
      <c r="S40" s="349">
        <f t="shared" ref="S40" si="21">SUM(S16:S39)</f>
        <v>0</v>
      </c>
      <c r="T40" s="349">
        <f t="shared" ref="T40" si="22">SUM(T16:T39)</f>
        <v>0</v>
      </c>
      <c r="U40" s="353">
        <f t="shared" si="6"/>
        <v>0</v>
      </c>
      <c r="V40" s="354">
        <f t="shared" si="7"/>
        <v>0</v>
      </c>
    </row>
    <row r="41" spans="1:22">
      <c r="A41" s="54"/>
      <c r="B41" s="22" t="s">
        <v>405</v>
      </c>
      <c r="I41" s="54" t="s">
        <v>405</v>
      </c>
      <c r="P41" s="54" t="s">
        <v>405</v>
      </c>
    </row>
    <row r="43" spans="1:22">
      <c r="B43" s="60" t="s">
        <v>474</v>
      </c>
      <c r="I43" s="60" t="s">
        <v>475</v>
      </c>
      <c r="P43" s="60" t="s">
        <v>476</v>
      </c>
    </row>
  </sheetData>
  <sheetProtection sheet="1" objects="1" scenarios="1"/>
  <conditionalFormatting sqref="C3:C4">
    <cfRule type="expression" dxfId="95" priority="33">
      <formula>C3="Data Not Entered On Set-Up Worksheet"</formula>
    </cfRule>
  </conditionalFormatting>
  <conditionalFormatting sqref="C9">
    <cfRule type="expression" dxfId="94" priority="32">
      <formula>C9="Data Not Entered On Set-Up Worksheet"</formula>
    </cfRule>
  </conditionalFormatting>
  <conditionalFormatting sqref="B12">
    <cfRule type="expression" dxfId="93" priority="27">
      <formula>B12="Data Not Entered On Set-Up Worksheet"</formula>
    </cfRule>
  </conditionalFormatting>
  <conditionalFormatting sqref="C11">
    <cfRule type="expression" dxfId="92" priority="20">
      <formula>C11="Data Not Entered On Set-Up Worksheet"</formula>
    </cfRule>
  </conditionalFormatting>
  <conditionalFormatting sqref="B16:F39 I16:M39 P16:T39">
    <cfRule type="expression" dxfId="91" priority="4">
      <formula>AND($A16&lt;&gt;"",XER16="")</formula>
    </cfRule>
  </conditionalFormatting>
  <conditionalFormatting sqref="E11">
    <cfRule type="expression" dxfId="90" priority="3">
      <formula>E11="Data Not Entered On Set-Up Worksheet"</formula>
    </cfRule>
  </conditionalFormatting>
  <conditionalFormatting sqref="B16:F39">
    <cfRule type="expression" dxfId="89" priority="1">
      <formula>$A16="Other"</formula>
    </cfRule>
  </conditionalFormatting>
  <pageMargins left="0.5" right="0.5" top="0.5" bottom="0.5" header="0.3" footer="0.3"/>
  <pageSetup scale="32"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21"/>
  <sheetViews>
    <sheetView showGridLines="0" workbookViewId="0">
      <selection activeCell="B19" sqref="B19"/>
    </sheetView>
  </sheetViews>
  <sheetFormatPr defaultRowHeight="12.75"/>
  <cols>
    <col min="1" max="7" width="15.7109375" style="22" customWidth="1"/>
    <col min="8" max="16384" width="9.140625" style="22"/>
  </cols>
  <sheetData>
    <row r="1" spans="1:8" ht="15" customHeight="1">
      <c r="A1" s="36" t="s">
        <v>28</v>
      </c>
    </row>
    <row r="2" spans="1:8" ht="15" customHeight="1">
      <c r="A2" s="36" t="s">
        <v>198</v>
      </c>
    </row>
    <row r="3" spans="1:8" ht="15" customHeight="1">
      <c r="A3" s="30" t="s">
        <v>196</v>
      </c>
      <c r="C3" s="147">
        <f>IF('Set-Up Worksheet'!F3="","Data Not Entered On Set-Up Worksheet",'Set-Up Worksheet'!F3)</f>
        <v>2017</v>
      </c>
    </row>
    <row r="4" spans="1:8" ht="15" customHeight="1">
      <c r="A4" s="30" t="s">
        <v>197</v>
      </c>
      <c r="C4" s="147" t="str">
        <f>IF('Set-Up Worksheet'!F4="","Data Not Entered On Set-Up Worksheet",'Set-Up Worksheet'!F4)</f>
        <v>1st Quarter</v>
      </c>
    </row>
    <row r="5" spans="1:8" ht="15" customHeight="1">
      <c r="C5" s="32"/>
    </row>
    <row r="6" spans="1:8" ht="15" customHeight="1">
      <c r="A6" s="30" t="s">
        <v>339</v>
      </c>
      <c r="C6" s="32"/>
    </row>
    <row r="7" spans="1:8" ht="15" customHeight="1">
      <c r="A7" s="30" t="s">
        <v>406</v>
      </c>
      <c r="C7" s="32"/>
    </row>
    <row r="8" spans="1:8" ht="15" customHeight="1">
      <c r="A8" s="30"/>
      <c r="C8" s="32"/>
    </row>
    <row r="9" spans="1:8" ht="15" customHeight="1">
      <c r="A9" s="30" t="s">
        <v>29</v>
      </c>
      <c r="C9" s="39" t="str">
        <f>IF('Set-Up Worksheet'!E7="","Data Not Entered On Set-Up Worksheet",'Set-Up Worksheet'!E7)</f>
        <v>Data Not Entered On Set-Up Worksheet</v>
      </c>
    </row>
    <row r="10" spans="1:8" ht="15" customHeight="1">
      <c r="A10" s="30" t="s">
        <v>9</v>
      </c>
      <c r="C10" s="32" t="s">
        <v>10</v>
      </c>
    </row>
    <row r="11" spans="1:8" ht="15" customHeight="1">
      <c r="A11" s="30" t="s">
        <v>199</v>
      </c>
      <c r="C11" s="40" t="str">
        <f>IF(C4="Data Not Entered On Set-Up Worksheet","Data Not Entered On Set-Up Worksheet",IF(C4="1st Quarter",'Report Schedule'!D46,IF(C4="2nd Quarter",'Report Schedule'!E46,IF(C4="3rd Quarter",'Report Schedule'!F46,IF(C4="4th Quarter",'Report Schedule'!G46,"")))))</f>
        <v>Apr - Jun 2016</v>
      </c>
      <c r="E11" s="54"/>
    </row>
    <row r="14" spans="1:8" ht="193.5" customHeight="1">
      <c r="A14" s="522" t="s">
        <v>438</v>
      </c>
      <c r="B14" s="522"/>
      <c r="C14" s="522"/>
      <c r="D14" s="522"/>
      <c r="E14" s="522"/>
      <c r="F14" s="522"/>
      <c r="G14" s="522"/>
      <c r="H14" s="47"/>
    </row>
    <row r="15" spans="1:8">
      <c r="A15" s="47"/>
      <c r="B15" s="47"/>
      <c r="C15" s="47"/>
      <c r="D15" s="47"/>
      <c r="E15" s="47"/>
      <c r="F15" s="47"/>
      <c r="G15" s="47"/>
      <c r="H15" s="47"/>
    </row>
    <row r="17" spans="2:6">
      <c r="B17" s="337" t="s">
        <v>403</v>
      </c>
      <c r="C17" s="338"/>
      <c r="D17" s="338"/>
      <c r="E17" s="339"/>
    </row>
    <row r="18" spans="2:6" ht="15" customHeight="1">
      <c r="B18" s="336" t="s">
        <v>400</v>
      </c>
      <c r="C18" s="336" t="s">
        <v>401</v>
      </c>
      <c r="D18" s="336" t="s">
        <v>437</v>
      </c>
      <c r="E18" s="343" t="s">
        <v>404</v>
      </c>
      <c r="F18" s="342" t="s">
        <v>402</v>
      </c>
    </row>
    <row r="19" spans="2:6" ht="20.100000000000001" customHeight="1">
      <c r="B19" s="340"/>
      <c r="C19" s="340"/>
      <c r="D19" s="340"/>
      <c r="E19" s="340"/>
      <c r="F19" s="341"/>
    </row>
    <row r="21" spans="2:6">
      <c r="B21" s="54" t="s">
        <v>405</v>
      </c>
    </row>
  </sheetData>
  <sheetProtection sheet="1" objects="1" scenarios="1"/>
  <mergeCells count="1">
    <mergeCell ref="A14:G14"/>
  </mergeCells>
  <conditionalFormatting sqref="C3:C4">
    <cfRule type="expression" dxfId="88" priority="3">
      <formula>C3="Data Not Entered On Set-Up Worksheet"</formula>
    </cfRule>
  </conditionalFormatting>
  <conditionalFormatting sqref="C9">
    <cfRule type="expression" dxfId="87" priority="2">
      <formula>C9="Data Not Entered On Set-Up Worksheet"</formula>
    </cfRule>
  </conditionalFormatting>
  <conditionalFormatting sqref="C11">
    <cfRule type="expression" dxfId="86"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107"/>
  <sheetViews>
    <sheetView showGridLines="0" workbookViewId="0">
      <selection activeCell="B18" sqref="B18"/>
    </sheetView>
  </sheetViews>
  <sheetFormatPr defaultRowHeight="12.75"/>
  <cols>
    <col min="1" max="1" width="22.42578125" style="22" customWidth="1"/>
    <col min="2" max="22" width="16.7109375" style="22" customWidth="1"/>
    <col min="23" max="16384" width="9.140625" style="22"/>
  </cols>
  <sheetData>
    <row r="1" spans="1:22" ht="15" customHeight="1">
      <c r="A1" s="36" t="s">
        <v>28</v>
      </c>
      <c r="I1" s="36" t="s">
        <v>332</v>
      </c>
      <c r="P1" s="36" t="s">
        <v>332</v>
      </c>
    </row>
    <row r="2" spans="1:22" ht="15" customHeight="1">
      <c r="A2" s="36" t="s">
        <v>198</v>
      </c>
      <c r="I2" s="358" t="s">
        <v>333</v>
      </c>
      <c r="P2" s="358" t="s">
        <v>333</v>
      </c>
    </row>
    <row r="3" spans="1:22" ht="15" customHeight="1">
      <c r="A3" s="30" t="s">
        <v>196</v>
      </c>
      <c r="C3" s="147">
        <f>IF('Set-Up Worksheet'!F3="","Data Not Entered On Set-Up Worksheet",'Set-Up Worksheet'!F3)</f>
        <v>2017</v>
      </c>
      <c r="J3" s="357">
        <f t="shared" ref="J3:J11" si="0">C3</f>
        <v>2017</v>
      </c>
      <c r="K3" s="355"/>
      <c r="L3" s="355"/>
      <c r="Q3" s="357">
        <f t="shared" ref="Q3:Q11" si="1">C3</f>
        <v>2017</v>
      </c>
    </row>
    <row r="4" spans="1:22" ht="15" customHeight="1">
      <c r="A4" s="30" t="s">
        <v>197</v>
      </c>
      <c r="C4" s="147" t="str">
        <f>IF('Set-Up Worksheet'!F4="","Data Not Entered On Set-Up Worksheet",'Set-Up Worksheet'!F4)</f>
        <v>1st Quarter</v>
      </c>
      <c r="D4" s="32"/>
      <c r="E4" s="32"/>
      <c r="J4" s="355" t="str">
        <f t="shared" si="0"/>
        <v>1st Quarter</v>
      </c>
      <c r="K4" s="355"/>
      <c r="L4" s="355"/>
      <c r="Q4" s="355" t="str">
        <f t="shared" si="1"/>
        <v>1st Quarter</v>
      </c>
    </row>
    <row r="5" spans="1:22" ht="15" customHeight="1">
      <c r="A5" s="30"/>
      <c r="C5" s="32"/>
      <c r="D5" s="32"/>
      <c r="E5" s="32"/>
      <c r="J5" s="355"/>
      <c r="K5" s="355"/>
      <c r="L5" s="355"/>
      <c r="Q5" s="355"/>
    </row>
    <row r="6" spans="1:22" ht="15" customHeight="1">
      <c r="A6" s="30" t="s">
        <v>339</v>
      </c>
      <c r="C6" s="32"/>
      <c r="D6" s="32"/>
      <c r="E6" s="32"/>
      <c r="J6" s="355"/>
      <c r="K6" s="355"/>
      <c r="L6" s="355"/>
      <c r="Q6" s="355"/>
    </row>
    <row r="7" spans="1:22" ht="15" customHeight="1">
      <c r="A7" s="30" t="s">
        <v>411</v>
      </c>
      <c r="C7" s="32"/>
      <c r="D7" s="32"/>
      <c r="E7" s="32"/>
      <c r="I7" s="30" t="s">
        <v>412</v>
      </c>
      <c r="J7" s="355"/>
      <c r="K7" s="355"/>
      <c r="L7" s="355"/>
      <c r="P7" s="30" t="s">
        <v>412</v>
      </c>
      <c r="Q7" s="355"/>
    </row>
    <row r="8" spans="1:22" ht="15" customHeight="1">
      <c r="A8" s="30"/>
      <c r="C8" s="32"/>
      <c r="D8" s="32"/>
      <c r="E8" s="32"/>
      <c r="J8" s="355"/>
      <c r="K8" s="355"/>
      <c r="L8" s="355"/>
      <c r="Q8" s="355"/>
    </row>
    <row r="9" spans="1:22" ht="15" customHeight="1">
      <c r="A9" s="30" t="s">
        <v>29</v>
      </c>
      <c r="C9" s="39" t="str">
        <f>IF('Set-Up Worksheet'!E7="","Data Not Entered On Set-Up Worksheet",'Set-Up Worksheet'!E7)</f>
        <v>Data Not Entered On Set-Up Worksheet</v>
      </c>
      <c r="J9" s="355" t="str">
        <f t="shared" si="0"/>
        <v>Data Not Entered On Set-Up Worksheet</v>
      </c>
      <c r="K9" s="355"/>
      <c r="L9" s="355"/>
      <c r="Q9" s="355" t="str">
        <f t="shared" si="1"/>
        <v>Data Not Entered On Set-Up Worksheet</v>
      </c>
    </row>
    <row r="10" spans="1:22" ht="15" customHeight="1">
      <c r="A10" s="30" t="s">
        <v>9</v>
      </c>
      <c r="C10" s="32" t="s">
        <v>10</v>
      </c>
      <c r="J10" s="355" t="str">
        <f t="shared" si="0"/>
        <v>Behavioral Health</v>
      </c>
      <c r="K10" s="355"/>
      <c r="L10" s="355"/>
      <c r="Q10" s="355" t="str">
        <f t="shared" si="1"/>
        <v>Behavioral Health</v>
      </c>
    </row>
    <row r="11" spans="1:22" ht="15" customHeight="1">
      <c r="A11" s="30" t="s">
        <v>199</v>
      </c>
      <c r="C11" s="40" t="str">
        <f>IF(C4="Data Not Entered On Set-Up Worksheet","Data Not Entered On Set-Up Worksheet",IF(C4="1st Quarter",'Report Schedule'!D49,IF(C4="2nd Quarter",'Report Schedule'!E49,IF(C4="3rd Quarter",'Report Schedule'!F49,IF(C4="4th Quarter",'Report Schedule'!G49,"")))))</f>
        <v>Apr - Jun 2016</v>
      </c>
      <c r="E11" s="79" t="s">
        <v>40</v>
      </c>
      <c r="J11" s="355" t="str">
        <f t="shared" si="0"/>
        <v>Apr - Jun 2016</v>
      </c>
      <c r="K11" s="355"/>
      <c r="L11" s="356" t="s">
        <v>40</v>
      </c>
      <c r="Q11" s="355" t="str">
        <f t="shared" si="1"/>
        <v>Apr - Jun 2016</v>
      </c>
      <c r="S11" s="356" t="s">
        <v>40</v>
      </c>
    </row>
    <row r="12" spans="1:22" ht="15" customHeight="1">
      <c r="A12" s="30"/>
      <c r="B12" s="40"/>
    </row>
    <row r="13" spans="1:22" ht="20.100000000000001" customHeight="1">
      <c r="A13" s="312" t="s">
        <v>311</v>
      </c>
      <c r="B13" s="243" t="s">
        <v>415</v>
      </c>
      <c r="C13" s="243"/>
      <c r="D13" s="243"/>
      <c r="E13" s="243"/>
      <c r="F13" s="243"/>
      <c r="G13" s="243"/>
      <c r="H13" s="243"/>
      <c r="I13" s="243" t="s">
        <v>415</v>
      </c>
      <c r="J13" s="243"/>
      <c r="K13" s="243"/>
      <c r="L13" s="243"/>
      <c r="M13" s="243"/>
      <c r="N13" s="243"/>
      <c r="O13" s="243"/>
      <c r="P13" s="243" t="s">
        <v>415</v>
      </c>
      <c r="Q13" s="243"/>
      <c r="R13" s="243"/>
      <c r="S13" s="243"/>
      <c r="T13" s="243"/>
      <c r="U13" s="243"/>
      <c r="V13" s="243"/>
    </row>
    <row r="14" spans="1:22" ht="13.5" thickBot="1"/>
    <row r="15" spans="1:22" ht="18" customHeight="1" thickBot="1">
      <c r="A15" s="226" t="s">
        <v>330</v>
      </c>
      <c r="B15" s="384" t="s">
        <v>39</v>
      </c>
      <c r="C15" s="235"/>
      <c r="D15" s="235"/>
      <c r="E15" s="235"/>
      <c r="F15" s="235"/>
      <c r="G15" s="235"/>
      <c r="H15" s="236"/>
      <c r="I15" s="383" t="s">
        <v>244</v>
      </c>
      <c r="J15" s="231"/>
      <c r="K15" s="231"/>
      <c r="L15" s="231"/>
      <c r="M15" s="231"/>
      <c r="N15" s="231"/>
      <c r="O15" s="232"/>
      <c r="P15" s="384" t="s">
        <v>246</v>
      </c>
      <c r="Q15" s="235"/>
      <c r="R15" s="235"/>
      <c r="S15" s="235"/>
      <c r="T15" s="235"/>
      <c r="U15" s="235"/>
      <c r="V15" s="236"/>
    </row>
    <row r="16" spans="1:22" ht="13.5" thickBot="1">
      <c r="A16" s="30"/>
      <c r="B16" s="37" t="s">
        <v>3</v>
      </c>
      <c r="C16" s="37" t="s">
        <v>3</v>
      </c>
      <c r="D16" s="37"/>
      <c r="E16" s="37"/>
      <c r="F16" s="37" t="s">
        <v>4</v>
      </c>
      <c r="G16" s="37" t="s">
        <v>8</v>
      </c>
      <c r="H16" s="37" t="s">
        <v>8</v>
      </c>
      <c r="I16" s="37" t="s">
        <v>3</v>
      </c>
      <c r="J16" s="37" t="s">
        <v>3</v>
      </c>
      <c r="K16" s="37"/>
      <c r="L16" s="37"/>
      <c r="M16" s="37" t="s">
        <v>4</v>
      </c>
      <c r="N16" s="37" t="s">
        <v>8</v>
      </c>
      <c r="O16" s="37" t="s">
        <v>8</v>
      </c>
      <c r="P16" s="37" t="s">
        <v>3</v>
      </c>
      <c r="Q16" s="37" t="s">
        <v>3</v>
      </c>
      <c r="R16" s="37"/>
      <c r="S16" s="37"/>
      <c r="T16" s="37" t="s">
        <v>4</v>
      </c>
      <c r="U16" s="37" t="s">
        <v>8</v>
      </c>
      <c r="V16" s="37" t="s">
        <v>8</v>
      </c>
    </row>
    <row r="17" spans="1:22" ht="51">
      <c r="A17" s="75" t="s">
        <v>43</v>
      </c>
      <c r="B17" s="350" t="s">
        <v>439</v>
      </c>
      <c r="C17" s="351" t="s">
        <v>440</v>
      </c>
      <c r="D17" s="351" t="s">
        <v>407</v>
      </c>
      <c r="E17" s="351" t="s">
        <v>408</v>
      </c>
      <c r="F17" s="351" t="s">
        <v>30</v>
      </c>
      <c r="G17" s="351" t="s">
        <v>441</v>
      </c>
      <c r="H17" s="352" t="s">
        <v>442</v>
      </c>
      <c r="I17" s="344" t="s">
        <v>439</v>
      </c>
      <c r="J17" s="345" t="s">
        <v>440</v>
      </c>
      <c r="K17" s="345" t="s">
        <v>407</v>
      </c>
      <c r="L17" s="345" t="s">
        <v>408</v>
      </c>
      <c r="M17" s="345" t="s">
        <v>30</v>
      </c>
      <c r="N17" s="345" t="s">
        <v>441</v>
      </c>
      <c r="O17" s="346" t="s">
        <v>442</v>
      </c>
      <c r="P17" s="350" t="s">
        <v>439</v>
      </c>
      <c r="Q17" s="351" t="s">
        <v>440</v>
      </c>
      <c r="R17" s="351" t="s">
        <v>407</v>
      </c>
      <c r="S17" s="351" t="s">
        <v>408</v>
      </c>
      <c r="T17" s="351" t="s">
        <v>30</v>
      </c>
      <c r="U17" s="351" t="s">
        <v>441</v>
      </c>
      <c r="V17" s="352" t="s">
        <v>442</v>
      </c>
    </row>
    <row r="18" spans="1:22" ht="18" customHeight="1">
      <c r="A18" s="76" t="str">
        <f>IF($C$9="Data Not Entered On Set-Up Worksheet","",IF(OR(VLOOKUP($C$9,County_Lookup,2,FALSE)="",VLOOKUP($C$9,County_Lookup,2,FALSE)=0),"",VLOOKUP($C$9,County_Lookup,2,FALSE)))</f>
        <v/>
      </c>
      <c r="B18" s="52"/>
      <c r="C18" s="42"/>
      <c r="D18" s="42"/>
      <c r="E18" s="42"/>
      <c r="F18" s="42"/>
      <c r="G18" s="43" t="str">
        <f>IF($A18="","",IF($F18=0,0,B18/$F18))</f>
        <v/>
      </c>
      <c r="H18" s="347" t="str">
        <f>IF($A18="","",IF($F18=0,0,C18/$F18))</f>
        <v/>
      </c>
      <c r="I18" s="52"/>
      <c r="J18" s="42"/>
      <c r="K18" s="42"/>
      <c r="L18" s="42"/>
      <c r="M18" s="42"/>
      <c r="N18" s="43" t="str">
        <f>IF($A18="","",IF($M18=0,0,I18/$M18))</f>
        <v/>
      </c>
      <c r="O18" s="347" t="str">
        <f>IF($A18="","",IF($M18=0,0,J18/$M18))</f>
        <v/>
      </c>
      <c r="P18" s="52"/>
      <c r="Q18" s="42"/>
      <c r="R18" s="42"/>
      <c r="S18" s="42"/>
      <c r="T18" s="42"/>
      <c r="U18" s="43" t="str">
        <f>IF($A18="","",IF($T18=0,0,P18/$T18))</f>
        <v/>
      </c>
      <c r="V18" s="347" t="str">
        <f>IF($A18="","",IF($T18=0,0,Q18/$T18))</f>
        <v/>
      </c>
    </row>
    <row r="19" spans="1:22" ht="18" customHeight="1">
      <c r="A19" s="77" t="str">
        <f>IF($C$9="Data Not Entered On Set-Up Worksheet","",IF(OR(VLOOKUP($C$9,County_Lookup,3,FALSE)="",VLOOKUP($C$9,County_Lookup,3,FALSE)=0),"",VLOOKUP($C$9,County_Lookup,3,FALSE)))</f>
        <v/>
      </c>
      <c r="B19" s="52"/>
      <c r="C19" s="42"/>
      <c r="D19" s="42"/>
      <c r="E19" s="42"/>
      <c r="F19" s="42"/>
      <c r="G19" s="43" t="str">
        <f t="shared" ref="G19:H42" si="2">IF($A19="","",IF($F19=0,0,B19/$F19))</f>
        <v/>
      </c>
      <c r="H19" s="347" t="str">
        <f t="shared" si="2"/>
        <v/>
      </c>
      <c r="I19" s="52"/>
      <c r="J19" s="42"/>
      <c r="K19" s="42"/>
      <c r="L19" s="42"/>
      <c r="M19" s="42"/>
      <c r="N19" s="43" t="str">
        <f t="shared" ref="N19:O42" si="3">IF($A19="","",IF($M19=0,0,I19/$M19))</f>
        <v/>
      </c>
      <c r="O19" s="347" t="str">
        <f t="shared" si="3"/>
        <v/>
      </c>
      <c r="P19" s="52"/>
      <c r="Q19" s="42"/>
      <c r="R19" s="42"/>
      <c r="S19" s="42"/>
      <c r="T19" s="42"/>
      <c r="U19" s="43" t="str">
        <f t="shared" ref="U19:V42" si="4">IF($A19="","",IF($T19=0,0,P19/$T19))</f>
        <v/>
      </c>
      <c r="V19" s="347" t="str">
        <f t="shared" si="4"/>
        <v/>
      </c>
    </row>
    <row r="20" spans="1:22" ht="18" customHeight="1">
      <c r="A20" s="77" t="str">
        <f>IF($C$9="Data Not Entered On Set-Up Worksheet","",IF(OR(VLOOKUP($C$9,County_Lookup,4,FALSE)="",VLOOKUP($C$9,County_Lookup,4,FALSE)=0),"",VLOOKUP($C$9,County_Lookup,4,FALSE)))</f>
        <v/>
      </c>
      <c r="B20" s="52"/>
      <c r="C20" s="42"/>
      <c r="D20" s="42"/>
      <c r="E20" s="42"/>
      <c r="F20" s="42"/>
      <c r="G20" s="43" t="str">
        <f t="shared" si="2"/>
        <v/>
      </c>
      <c r="H20" s="347" t="str">
        <f t="shared" si="2"/>
        <v/>
      </c>
      <c r="I20" s="52"/>
      <c r="J20" s="42"/>
      <c r="K20" s="42"/>
      <c r="L20" s="42"/>
      <c r="M20" s="42"/>
      <c r="N20" s="43" t="str">
        <f t="shared" si="3"/>
        <v/>
      </c>
      <c r="O20" s="347" t="str">
        <f t="shared" si="3"/>
        <v/>
      </c>
      <c r="P20" s="52"/>
      <c r="Q20" s="42"/>
      <c r="R20" s="42"/>
      <c r="S20" s="42"/>
      <c r="T20" s="42"/>
      <c r="U20" s="43" t="str">
        <f t="shared" si="4"/>
        <v/>
      </c>
      <c r="V20" s="347" t="str">
        <f t="shared" si="4"/>
        <v/>
      </c>
    </row>
    <row r="21" spans="1:22" ht="18" customHeight="1">
      <c r="A21" s="77" t="str">
        <f>IF($C$9="Data Not Entered On Set-Up Worksheet","",IF(OR(VLOOKUP($C$9,County_Lookup,5,FALSE)="",VLOOKUP($C$9,County_Lookup,5,FALSE)=0),"",VLOOKUP($C$9,County_Lookup,5,FALSE)))</f>
        <v/>
      </c>
      <c r="B21" s="52"/>
      <c r="C21" s="42"/>
      <c r="D21" s="42"/>
      <c r="E21" s="42"/>
      <c r="F21" s="42"/>
      <c r="G21" s="43" t="str">
        <f t="shared" si="2"/>
        <v/>
      </c>
      <c r="H21" s="347" t="str">
        <f t="shared" si="2"/>
        <v/>
      </c>
      <c r="I21" s="52"/>
      <c r="J21" s="42"/>
      <c r="K21" s="42"/>
      <c r="L21" s="42"/>
      <c r="M21" s="42"/>
      <c r="N21" s="43" t="str">
        <f t="shared" si="3"/>
        <v/>
      </c>
      <c r="O21" s="347" t="str">
        <f t="shared" si="3"/>
        <v/>
      </c>
      <c r="P21" s="52"/>
      <c r="Q21" s="42"/>
      <c r="R21" s="42"/>
      <c r="S21" s="42"/>
      <c r="T21" s="42"/>
      <c r="U21" s="43" t="str">
        <f t="shared" si="4"/>
        <v/>
      </c>
      <c r="V21" s="347" t="str">
        <f t="shared" si="4"/>
        <v/>
      </c>
    </row>
    <row r="22" spans="1:22" ht="18" customHeight="1">
      <c r="A22" s="77" t="str">
        <f>IF($C$9="Data Not Entered On Set-Up Worksheet","",IF(OR(VLOOKUP($C$9,County_Lookup,6,FALSE)="",VLOOKUP($C$9,County_Lookup,6,FALSE)=0),"",VLOOKUP($C$9,County_Lookup,6,FALSE)))</f>
        <v/>
      </c>
      <c r="B22" s="52"/>
      <c r="C22" s="42"/>
      <c r="D22" s="42"/>
      <c r="E22" s="42"/>
      <c r="F22" s="42"/>
      <c r="G22" s="43" t="str">
        <f t="shared" si="2"/>
        <v/>
      </c>
      <c r="H22" s="347" t="str">
        <f t="shared" si="2"/>
        <v/>
      </c>
      <c r="I22" s="52"/>
      <c r="J22" s="42"/>
      <c r="K22" s="42"/>
      <c r="L22" s="42"/>
      <c r="M22" s="42"/>
      <c r="N22" s="43" t="str">
        <f t="shared" si="3"/>
        <v/>
      </c>
      <c r="O22" s="347" t="str">
        <f t="shared" si="3"/>
        <v/>
      </c>
      <c r="P22" s="52"/>
      <c r="Q22" s="42"/>
      <c r="R22" s="42"/>
      <c r="S22" s="42"/>
      <c r="T22" s="42"/>
      <c r="U22" s="43" t="str">
        <f t="shared" si="4"/>
        <v/>
      </c>
      <c r="V22" s="347" t="str">
        <f t="shared" si="4"/>
        <v/>
      </c>
    </row>
    <row r="23" spans="1:22" ht="18" customHeight="1">
      <c r="A23" s="77" t="str">
        <f>IF($C$9="Data Not Entered On Set-Up Worksheet","",IF(OR(VLOOKUP($C$9,County_Lookup,7,FALSE)="",VLOOKUP($C$9,County_Lookup,7,FALSE)=0),"",VLOOKUP($C$9,County_Lookup,7,FALSE)))</f>
        <v/>
      </c>
      <c r="B23" s="52"/>
      <c r="C23" s="42"/>
      <c r="D23" s="42"/>
      <c r="E23" s="42"/>
      <c r="F23" s="42"/>
      <c r="G23" s="43" t="str">
        <f t="shared" si="2"/>
        <v/>
      </c>
      <c r="H23" s="347" t="str">
        <f t="shared" si="2"/>
        <v/>
      </c>
      <c r="I23" s="52"/>
      <c r="J23" s="42"/>
      <c r="K23" s="42"/>
      <c r="L23" s="42"/>
      <c r="M23" s="42"/>
      <c r="N23" s="43" t="str">
        <f t="shared" si="3"/>
        <v/>
      </c>
      <c r="O23" s="347" t="str">
        <f t="shared" si="3"/>
        <v/>
      </c>
      <c r="P23" s="52"/>
      <c r="Q23" s="42"/>
      <c r="R23" s="42"/>
      <c r="S23" s="42"/>
      <c r="T23" s="42"/>
      <c r="U23" s="43" t="str">
        <f t="shared" si="4"/>
        <v/>
      </c>
      <c r="V23" s="347" t="str">
        <f t="shared" si="4"/>
        <v/>
      </c>
    </row>
    <row r="24" spans="1:22" ht="18" customHeight="1">
      <c r="A24" s="76" t="str">
        <f>IF($C$9="Data Not Entered On Set-Up Worksheet","",IF(OR(VLOOKUP($C$9,County_Lookup,8,FALSE)="",VLOOKUP($C$9,County_Lookup,8,FALSE)=0),"",VLOOKUP($C$9,County_Lookup,8,FALSE)))</f>
        <v/>
      </c>
      <c r="B24" s="52"/>
      <c r="C24" s="42"/>
      <c r="D24" s="42"/>
      <c r="E24" s="42"/>
      <c r="F24" s="42"/>
      <c r="G24" s="43" t="str">
        <f t="shared" si="2"/>
        <v/>
      </c>
      <c r="H24" s="347" t="str">
        <f t="shared" si="2"/>
        <v/>
      </c>
      <c r="I24" s="52"/>
      <c r="J24" s="42"/>
      <c r="K24" s="42"/>
      <c r="L24" s="42"/>
      <c r="M24" s="42"/>
      <c r="N24" s="43" t="str">
        <f t="shared" si="3"/>
        <v/>
      </c>
      <c r="O24" s="347" t="str">
        <f t="shared" si="3"/>
        <v/>
      </c>
      <c r="P24" s="52"/>
      <c r="Q24" s="42"/>
      <c r="R24" s="42"/>
      <c r="S24" s="42"/>
      <c r="T24" s="42"/>
      <c r="U24" s="43" t="str">
        <f t="shared" si="4"/>
        <v/>
      </c>
      <c r="V24" s="347" t="str">
        <f t="shared" si="4"/>
        <v/>
      </c>
    </row>
    <row r="25" spans="1:22" ht="18" customHeight="1">
      <c r="A25" s="77" t="str">
        <f>IF($C$9="Data Not Entered On Set-Up Worksheet","",IF(OR(VLOOKUP($C$9,County_Lookup,9,FALSE)="",VLOOKUP($C$9,County_Lookup,9,FALSE)=0),"",VLOOKUP($C$9,County_Lookup,9,FALSE)))</f>
        <v/>
      </c>
      <c r="B25" s="52"/>
      <c r="C25" s="42"/>
      <c r="D25" s="42"/>
      <c r="E25" s="42"/>
      <c r="F25" s="42"/>
      <c r="G25" s="43" t="str">
        <f t="shared" si="2"/>
        <v/>
      </c>
      <c r="H25" s="347" t="str">
        <f t="shared" si="2"/>
        <v/>
      </c>
      <c r="I25" s="52"/>
      <c r="J25" s="42"/>
      <c r="K25" s="42"/>
      <c r="L25" s="42"/>
      <c r="M25" s="42"/>
      <c r="N25" s="43" t="str">
        <f t="shared" si="3"/>
        <v/>
      </c>
      <c r="O25" s="347" t="str">
        <f t="shared" si="3"/>
        <v/>
      </c>
      <c r="P25" s="52"/>
      <c r="Q25" s="42"/>
      <c r="R25" s="42"/>
      <c r="S25" s="42"/>
      <c r="T25" s="42"/>
      <c r="U25" s="43" t="str">
        <f t="shared" si="4"/>
        <v/>
      </c>
      <c r="V25" s="347" t="str">
        <f t="shared" si="4"/>
        <v/>
      </c>
    </row>
    <row r="26" spans="1:22" ht="18" customHeight="1">
      <c r="A26" s="77" t="str">
        <f>IF($C$9="Data Not Entered On Set-Up Worksheet","",IF(OR(VLOOKUP($C$9,County_Lookup,10,FALSE)="",VLOOKUP($C$9,County_Lookup,10,FALSE)=0),"",VLOOKUP($C$9,County_Lookup,10,FALSE)))</f>
        <v/>
      </c>
      <c r="B26" s="52"/>
      <c r="C26" s="42"/>
      <c r="D26" s="42"/>
      <c r="E26" s="42"/>
      <c r="F26" s="42"/>
      <c r="G26" s="43" t="str">
        <f t="shared" si="2"/>
        <v/>
      </c>
      <c r="H26" s="347" t="str">
        <f t="shared" si="2"/>
        <v/>
      </c>
      <c r="I26" s="52"/>
      <c r="J26" s="42"/>
      <c r="K26" s="42"/>
      <c r="L26" s="42"/>
      <c r="M26" s="42"/>
      <c r="N26" s="43" t="str">
        <f t="shared" si="3"/>
        <v/>
      </c>
      <c r="O26" s="347" t="str">
        <f t="shared" si="3"/>
        <v/>
      </c>
      <c r="P26" s="52"/>
      <c r="Q26" s="42"/>
      <c r="R26" s="42"/>
      <c r="S26" s="42"/>
      <c r="T26" s="42"/>
      <c r="U26" s="43" t="str">
        <f t="shared" si="4"/>
        <v/>
      </c>
      <c r="V26" s="347" t="str">
        <f t="shared" si="4"/>
        <v/>
      </c>
    </row>
    <row r="27" spans="1:22" ht="18" customHeight="1">
      <c r="A27" s="77" t="str">
        <f>IF($C$9="Data Not Entered On Set-Up Worksheet","",IF(OR(VLOOKUP($C$9,County_Lookup,11,FALSE)="",VLOOKUP($C$9,County_Lookup,11,FALSE)=0),"",VLOOKUP($C$9,County_Lookup,11,FALSE)))</f>
        <v/>
      </c>
      <c r="B27" s="52"/>
      <c r="C27" s="42"/>
      <c r="D27" s="42"/>
      <c r="E27" s="42"/>
      <c r="F27" s="42"/>
      <c r="G27" s="43" t="str">
        <f t="shared" si="2"/>
        <v/>
      </c>
      <c r="H27" s="347" t="str">
        <f t="shared" si="2"/>
        <v/>
      </c>
      <c r="I27" s="52"/>
      <c r="J27" s="42"/>
      <c r="K27" s="42"/>
      <c r="L27" s="42"/>
      <c r="M27" s="42"/>
      <c r="N27" s="43" t="str">
        <f t="shared" si="3"/>
        <v/>
      </c>
      <c r="O27" s="347" t="str">
        <f t="shared" si="3"/>
        <v/>
      </c>
      <c r="P27" s="52"/>
      <c r="Q27" s="42"/>
      <c r="R27" s="42"/>
      <c r="S27" s="42"/>
      <c r="T27" s="42"/>
      <c r="U27" s="43" t="str">
        <f t="shared" si="4"/>
        <v/>
      </c>
      <c r="V27" s="347" t="str">
        <f t="shared" si="4"/>
        <v/>
      </c>
    </row>
    <row r="28" spans="1:22" ht="18" customHeight="1">
      <c r="A28" s="77" t="str">
        <f>IF($C$9="Data Not Entered On Set-Up Worksheet","",IF(OR(VLOOKUP($C$9,County_Lookup,12,FALSE)="",VLOOKUP($C$9,County_Lookup,12,FALSE)=0),"",VLOOKUP($C$9,County_Lookup,12,FALSE)))</f>
        <v/>
      </c>
      <c r="B28" s="52"/>
      <c r="C28" s="42"/>
      <c r="D28" s="42"/>
      <c r="E28" s="42"/>
      <c r="F28" s="42"/>
      <c r="G28" s="43" t="str">
        <f t="shared" si="2"/>
        <v/>
      </c>
      <c r="H28" s="347" t="str">
        <f t="shared" si="2"/>
        <v/>
      </c>
      <c r="I28" s="52"/>
      <c r="J28" s="42"/>
      <c r="K28" s="42"/>
      <c r="L28" s="42"/>
      <c r="M28" s="42"/>
      <c r="N28" s="43" t="str">
        <f t="shared" si="3"/>
        <v/>
      </c>
      <c r="O28" s="347" t="str">
        <f t="shared" si="3"/>
        <v/>
      </c>
      <c r="P28" s="52"/>
      <c r="Q28" s="42"/>
      <c r="R28" s="42"/>
      <c r="S28" s="42"/>
      <c r="T28" s="42"/>
      <c r="U28" s="43" t="str">
        <f t="shared" si="4"/>
        <v/>
      </c>
      <c r="V28" s="347" t="str">
        <f t="shared" si="4"/>
        <v/>
      </c>
    </row>
    <row r="29" spans="1:22" ht="18" customHeight="1">
      <c r="A29" s="77" t="str">
        <f>IF($C$9="Data Not Entered On Set-Up Worksheet","",IF(OR(VLOOKUP($C$9,County_Lookup,13,FALSE)="",VLOOKUP($C$9,County_Lookup,13,FALSE)=0),"",VLOOKUP($C$9,County_Lookup,13,FALSE)))</f>
        <v/>
      </c>
      <c r="B29" s="52"/>
      <c r="C29" s="42"/>
      <c r="D29" s="42"/>
      <c r="E29" s="42"/>
      <c r="F29" s="42"/>
      <c r="G29" s="43" t="str">
        <f t="shared" si="2"/>
        <v/>
      </c>
      <c r="H29" s="347" t="str">
        <f t="shared" si="2"/>
        <v/>
      </c>
      <c r="I29" s="52"/>
      <c r="J29" s="42"/>
      <c r="K29" s="42"/>
      <c r="L29" s="42"/>
      <c r="M29" s="42"/>
      <c r="N29" s="43" t="str">
        <f t="shared" si="3"/>
        <v/>
      </c>
      <c r="O29" s="347" t="str">
        <f t="shared" si="3"/>
        <v/>
      </c>
      <c r="P29" s="52"/>
      <c r="Q29" s="42"/>
      <c r="R29" s="42"/>
      <c r="S29" s="42"/>
      <c r="T29" s="42"/>
      <c r="U29" s="43" t="str">
        <f t="shared" si="4"/>
        <v/>
      </c>
      <c r="V29" s="347" t="str">
        <f t="shared" si="4"/>
        <v/>
      </c>
    </row>
    <row r="30" spans="1:22" ht="18" customHeight="1">
      <c r="A30" s="77" t="str">
        <f>IF($C$9="Data Not Entered On Set-Up Worksheet","",IF(OR(VLOOKUP($C$9,County_Lookup,14,FALSE)="",VLOOKUP($C$9,County_Lookup,14,FALSE)=0),"",VLOOKUP($C$9,County_Lookup,14,FALSE)))</f>
        <v/>
      </c>
      <c r="B30" s="52"/>
      <c r="C30" s="42"/>
      <c r="D30" s="42"/>
      <c r="E30" s="42"/>
      <c r="F30" s="42"/>
      <c r="G30" s="43" t="str">
        <f t="shared" si="2"/>
        <v/>
      </c>
      <c r="H30" s="347" t="str">
        <f t="shared" si="2"/>
        <v/>
      </c>
      <c r="I30" s="52"/>
      <c r="J30" s="42"/>
      <c r="K30" s="42"/>
      <c r="L30" s="42"/>
      <c r="M30" s="42"/>
      <c r="N30" s="43" t="str">
        <f t="shared" si="3"/>
        <v/>
      </c>
      <c r="O30" s="347" t="str">
        <f t="shared" si="3"/>
        <v/>
      </c>
      <c r="P30" s="52"/>
      <c r="Q30" s="42"/>
      <c r="R30" s="42"/>
      <c r="S30" s="42"/>
      <c r="T30" s="42"/>
      <c r="U30" s="43" t="str">
        <f t="shared" si="4"/>
        <v/>
      </c>
      <c r="V30" s="347" t="str">
        <f t="shared" si="4"/>
        <v/>
      </c>
    </row>
    <row r="31" spans="1:22" ht="18" customHeight="1">
      <c r="A31" s="76" t="str">
        <f>IF($C$9="Data Not Entered On Set-Up Worksheet","",IF(OR(VLOOKUP($C$9,County_Lookup,15,FALSE)="",VLOOKUP($C$9,County_Lookup,15,FALSE)=0),"",VLOOKUP($C$9,County_Lookup,15,FALSE)))</f>
        <v/>
      </c>
      <c r="B31" s="52"/>
      <c r="C31" s="42"/>
      <c r="D31" s="42"/>
      <c r="E31" s="42"/>
      <c r="F31" s="42"/>
      <c r="G31" s="43" t="str">
        <f t="shared" si="2"/>
        <v/>
      </c>
      <c r="H31" s="347" t="str">
        <f t="shared" si="2"/>
        <v/>
      </c>
      <c r="I31" s="52"/>
      <c r="J31" s="42"/>
      <c r="K31" s="42"/>
      <c r="L31" s="42"/>
      <c r="M31" s="42"/>
      <c r="N31" s="43" t="str">
        <f t="shared" si="3"/>
        <v/>
      </c>
      <c r="O31" s="347" t="str">
        <f t="shared" si="3"/>
        <v/>
      </c>
      <c r="P31" s="52"/>
      <c r="Q31" s="42"/>
      <c r="R31" s="42"/>
      <c r="S31" s="42"/>
      <c r="T31" s="42"/>
      <c r="U31" s="43" t="str">
        <f t="shared" si="4"/>
        <v/>
      </c>
      <c r="V31" s="347" t="str">
        <f t="shared" si="4"/>
        <v/>
      </c>
    </row>
    <row r="32" spans="1:22" ht="18" customHeight="1">
      <c r="A32" s="77" t="str">
        <f>IF($C$9="Data Not Entered On Set-Up Worksheet","",IF(OR(VLOOKUP($C$9,County_Lookup,16,FALSE)="",VLOOKUP($C$9,County_Lookup,16,FALSE)=0),"",VLOOKUP($C$9,County_Lookup,16,FALSE)))</f>
        <v/>
      </c>
      <c r="B32" s="52"/>
      <c r="C32" s="42"/>
      <c r="D32" s="42"/>
      <c r="E32" s="42"/>
      <c r="F32" s="42"/>
      <c r="G32" s="43" t="str">
        <f t="shared" si="2"/>
        <v/>
      </c>
      <c r="H32" s="347" t="str">
        <f t="shared" si="2"/>
        <v/>
      </c>
      <c r="I32" s="52"/>
      <c r="J32" s="42"/>
      <c r="K32" s="42"/>
      <c r="L32" s="42"/>
      <c r="M32" s="42"/>
      <c r="N32" s="43" t="str">
        <f t="shared" si="3"/>
        <v/>
      </c>
      <c r="O32" s="347" t="str">
        <f t="shared" si="3"/>
        <v/>
      </c>
      <c r="P32" s="52"/>
      <c r="Q32" s="42"/>
      <c r="R32" s="42"/>
      <c r="S32" s="42"/>
      <c r="T32" s="42"/>
      <c r="U32" s="43" t="str">
        <f t="shared" si="4"/>
        <v/>
      </c>
      <c r="V32" s="347" t="str">
        <f t="shared" si="4"/>
        <v/>
      </c>
    </row>
    <row r="33" spans="1:22" ht="18" customHeight="1">
      <c r="A33" s="77" t="str">
        <f>IF($C$9="Data Not Entered On Set-Up Worksheet","",IF(OR(VLOOKUP($C$9,County_Lookup,17,FALSE)="",VLOOKUP($C$9,County_Lookup,17,FALSE)=0),"",VLOOKUP($C$9,County_Lookup,17,FALSE)))</f>
        <v/>
      </c>
      <c r="B33" s="52"/>
      <c r="C33" s="42"/>
      <c r="D33" s="42"/>
      <c r="E33" s="42"/>
      <c r="F33" s="42"/>
      <c r="G33" s="43" t="str">
        <f t="shared" si="2"/>
        <v/>
      </c>
      <c r="H33" s="347" t="str">
        <f t="shared" si="2"/>
        <v/>
      </c>
      <c r="I33" s="52"/>
      <c r="J33" s="42"/>
      <c r="K33" s="42"/>
      <c r="L33" s="42"/>
      <c r="M33" s="42"/>
      <c r="N33" s="43" t="str">
        <f t="shared" si="3"/>
        <v/>
      </c>
      <c r="O33" s="347" t="str">
        <f t="shared" si="3"/>
        <v/>
      </c>
      <c r="P33" s="52"/>
      <c r="Q33" s="42"/>
      <c r="R33" s="42"/>
      <c r="S33" s="42"/>
      <c r="T33" s="42"/>
      <c r="U33" s="43" t="str">
        <f t="shared" si="4"/>
        <v/>
      </c>
      <c r="V33" s="347" t="str">
        <f t="shared" si="4"/>
        <v/>
      </c>
    </row>
    <row r="34" spans="1:22" ht="18" customHeight="1">
      <c r="A34" s="77" t="str">
        <f>IF($C$9="Data Not Entered On Set-Up Worksheet","",IF(OR(VLOOKUP($C$9,County_Lookup,18,FALSE)="",VLOOKUP($C$9,County_Lookup,18,FALSE)=0),"",VLOOKUP($C$9,County_Lookup,18,FALSE)))</f>
        <v/>
      </c>
      <c r="B34" s="52"/>
      <c r="C34" s="42"/>
      <c r="D34" s="42"/>
      <c r="E34" s="42"/>
      <c r="F34" s="42"/>
      <c r="G34" s="43" t="str">
        <f t="shared" si="2"/>
        <v/>
      </c>
      <c r="H34" s="347" t="str">
        <f t="shared" si="2"/>
        <v/>
      </c>
      <c r="I34" s="52"/>
      <c r="J34" s="42"/>
      <c r="K34" s="42"/>
      <c r="L34" s="42"/>
      <c r="M34" s="42"/>
      <c r="N34" s="43" t="str">
        <f t="shared" si="3"/>
        <v/>
      </c>
      <c r="O34" s="347" t="str">
        <f t="shared" si="3"/>
        <v/>
      </c>
      <c r="P34" s="52"/>
      <c r="Q34" s="42"/>
      <c r="R34" s="42"/>
      <c r="S34" s="42"/>
      <c r="T34" s="42"/>
      <c r="U34" s="43" t="str">
        <f t="shared" si="4"/>
        <v/>
      </c>
      <c r="V34" s="347" t="str">
        <f t="shared" si="4"/>
        <v/>
      </c>
    </row>
    <row r="35" spans="1:22" ht="18" customHeight="1">
      <c r="A35" s="77" t="str">
        <f>IF($C$9="Data Not Entered On Set-Up Worksheet","",IF(OR(VLOOKUP($C$9,County_Lookup,19,FALSE)="",VLOOKUP($C$9,County_Lookup,19,FALSE)=0),"",VLOOKUP($C$9,County_Lookup,19,FALSE)))</f>
        <v/>
      </c>
      <c r="B35" s="52"/>
      <c r="C35" s="42"/>
      <c r="D35" s="42"/>
      <c r="E35" s="42"/>
      <c r="F35" s="42"/>
      <c r="G35" s="43" t="str">
        <f t="shared" si="2"/>
        <v/>
      </c>
      <c r="H35" s="347" t="str">
        <f t="shared" si="2"/>
        <v/>
      </c>
      <c r="I35" s="52"/>
      <c r="J35" s="42"/>
      <c r="K35" s="42"/>
      <c r="L35" s="42"/>
      <c r="M35" s="42"/>
      <c r="N35" s="43" t="str">
        <f t="shared" si="3"/>
        <v/>
      </c>
      <c r="O35" s="347" t="str">
        <f t="shared" si="3"/>
        <v/>
      </c>
      <c r="P35" s="52"/>
      <c r="Q35" s="42"/>
      <c r="R35" s="42"/>
      <c r="S35" s="42"/>
      <c r="T35" s="42"/>
      <c r="U35" s="43" t="str">
        <f t="shared" si="4"/>
        <v/>
      </c>
      <c r="V35" s="347" t="str">
        <f t="shared" si="4"/>
        <v/>
      </c>
    </row>
    <row r="36" spans="1:22" ht="18" customHeight="1">
      <c r="A36" s="77" t="str">
        <f>IF($C$9="Data Not Entered On Set-Up Worksheet","",IF(OR(VLOOKUP($C$9,County_Lookup,20,FALSE)="",VLOOKUP($C$9,County_Lookup,20,FALSE)=0),"",VLOOKUP($C$9,County_Lookup,20,FALSE)))</f>
        <v/>
      </c>
      <c r="B36" s="52"/>
      <c r="C36" s="42"/>
      <c r="D36" s="42"/>
      <c r="E36" s="42"/>
      <c r="F36" s="42"/>
      <c r="G36" s="43" t="str">
        <f t="shared" si="2"/>
        <v/>
      </c>
      <c r="H36" s="347" t="str">
        <f t="shared" si="2"/>
        <v/>
      </c>
      <c r="I36" s="52"/>
      <c r="J36" s="42"/>
      <c r="K36" s="42"/>
      <c r="L36" s="42"/>
      <c r="M36" s="42"/>
      <c r="N36" s="43" t="str">
        <f t="shared" si="3"/>
        <v/>
      </c>
      <c r="O36" s="347" t="str">
        <f t="shared" si="3"/>
        <v/>
      </c>
      <c r="P36" s="52"/>
      <c r="Q36" s="42"/>
      <c r="R36" s="42"/>
      <c r="S36" s="42"/>
      <c r="T36" s="42"/>
      <c r="U36" s="43" t="str">
        <f t="shared" si="4"/>
        <v/>
      </c>
      <c r="V36" s="347" t="str">
        <f t="shared" si="4"/>
        <v/>
      </c>
    </row>
    <row r="37" spans="1:22" ht="18" customHeight="1">
      <c r="A37" s="77" t="str">
        <f>IF($C$9="Data Not Entered On Set-Up Worksheet","",IF(OR(VLOOKUP($C$9,County_Lookup,21,FALSE)="",VLOOKUP($C$9,County_Lookup,21,FALSE)=0),"",VLOOKUP($C$9,County_Lookup,21,FALSE)))</f>
        <v/>
      </c>
      <c r="B37" s="52"/>
      <c r="C37" s="42"/>
      <c r="D37" s="42"/>
      <c r="E37" s="42"/>
      <c r="F37" s="42"/>
      <c r="G37" s="43" t="str">
        <f t="shared" si="2"/>
        <v/>
      </c>
      <c r="H37" s="347" t="str">
        <f t="shared" si="2"/>
        <v/>
      </c>
      <c r="I37" s="52"/>
      <c r="J37" s="42"/>
      <c r="K37" s="42"/>
      <c r="L37" s="42"/>
      <c r="M37" s="42"/>
      <c r="N37" s="43" t="str">
        <f t="shared" si="3"/>
        <v/>
      </c>
      <c r="O37" s="347" t="str">
        <f t="shared" si="3"/>
        <v/>
      </c>
      <c r="P37" s="52"/>
      <c r="Q37" s="42"/>
      <c r="R37" s="42"/>
      <c r="S37" s="42"/>
      <c r="T37" s="42"/>
      <c r="U37" s="43" t="str">
        <f t="shared" si="4"/>
        <v/>
      </c>
      <c r="V37" s="347" t="str">
        <f t="shared" si="4"/>
        <v/>
      </c>
    </row>
    <row r="38" spans="1:22" ht="18" customHeight="1">
      <c r="A38" s="76" t="str">
        <f>IF($C$9="Data Not Entered On Set-Up Worksheet","",IF(OR(VLOOKUP($C$9,County_Lookup,22,FALSE)="",VLOOKUP($C$9,County_Lookup,22,FALSE)=0),"",VLOOKUP($C$9,County_Lookup,22,FALSE)))</f>
        <v/>
      </c>
      <c r="B38" s="52"/>
      <c r="C38" s="42"/>
      <c r="D38" s="42"/>
      <c r="E38" s="42"/>
      <c r="F38" s="42"/>
      <c r="G38" s="43" t="str">
        <f t="shared" si="2"/>
        <v/>
      </c>
      <c r="H38" s="347" t="str">
        <f t="shared" si="2"/>
        <v/>
      </c>
      <c r="I38" s="52"/>
      <c r="J38" s="42"/>
      <c r="K38" s="42"/>
      <c r="L38" s="42"/>
      <c r="M38" s="42"/>
      <c r="N38" s="43" t="str">
        <f t="shared" si="3"/>
        <v/>
      </c>
      <c r="O38" s="347" t="str">
        <f t="shared" si="3"/>
        <v/>
      </c>
      <c r="P38" s="52"/>
      <c r="Q38" s="42"/>
      <c r="R38" s="42"/>
      <c r="S38" s="42"/>
      <c r="T38" s="42"/>
      <c r="U38" s="43" t="str">
        <f t="shared" si="4"/>
        <v/>
      </c>
      <c r="V38" s="347" t="str">
        <f t="shared" si="4"/>
        <v/>
      </c>
    </row>
    <row r="39" spans="1:22" ht="18" customHeight="1">
      <c r="A39" s="77" t="str">
        <f>IF($C$9="Data Not Entered On Set-Up Worksheet","",IF(OR(VLOOKUP($C$9,County_Lookup,23,FALSE)="",VLOOKUP($C$9,County_Lookup,23,FALSE)=0),"",VLOOKUP($C$9,County_Lookup,23,FALSE)))</f>
        <v/>
      </c>
      <c r="B39" s="52"/>
      <c r="C39" s="42"/>
      <c r="D39" s="42"/>
      <c r="E39" s="42"/>
      <c r="F39" s="42"/>
      <c r="G39" s="43" t="str">
        <f t="shared" si="2"/>
        <v/>
      </c>
      <c r="H39" s="347" t="str">
        <f t="shared" si="2"/>
        <v/>
      </c>
      <c r="I39" s="52"/>
      <c r="J39" s="42"/>
      <c r="K39" s="42"/>
      <c r="L39" s="42"/>
      <c r="M39" s="42"/>
      <c r="N39" s="43" t="str">
        <f t="shared" si="3"/>
        <v/>
      </c>
      <c r="O39" s="347" t="str">
        <f t="shared" si="3"/>
        <v/>
      </c>
      <c r="P39" s="52"/>
      <c r="Q39" s="42"/>
      <c r="R39" s="42"/>
      <c r="S39" s="42"/>
      <c r="T39" s="42"/>
      <c r="U39" s="43" t="str">
        <f t="shared" si="4"/>
        <v/>
      </c>
      <c r="V39" s="347" t="str">
        <f t="shared" si="4"/>
        <v/>
      </c>
    </row>
    <row r="40" spans="1:22" ht="18" customHeight="1">
      <c r="A40" s="77" t="str">
        <f>IF($C$9="Data Not Entered On Set-Up Worksheet","",IF(OR(VLOOKUP($C$9,County_Lookup,24,FALSE)="",VLOOKUP($C$9,County_Lookup,24,FALSE)=0),"",VLOOKUP($C$9,County_Lookup,24,FALSE)))</f>
        <v/>
      </c>
      <c r="B40" s="52"/>
      <c r="C40" s="42"/>
      <c r="D40" s="42"/>
      <c r="E40" s="42"/>
      <c r="F40" s="42"/>
      <c r="G40" s="43" t="str">
        <f t="shared" ref="G40" si="5">IF($A40="","",IF($F40=0,0,B40/$F40))</f>
        <v/>
      </c>
      <c r="H40" s="347" t="str">
        <f t="shared" ref="H40" si="6">IF($A40="","",IF($F40=0,0,C40/$F40))</f>
        <v/>
      </c>
      <c r="I40" s="52"/>
      <c r="J40" s="42"/>
      <c r="K40" s="42"/>
      <c r="L40" s="42"/>
      <c r="M40" s="42"/>
      <c r="N40" s="43" t="str">
        <f t="shared" ref="N40" si="7">IF($A40="","",IF($M40=0,0,I40/$M40))</f>
        <v/>
      </c>
      <c r="O40" s="347" t="str">
        <f t="shared" ref="O40" si="8">IF($A40="","",IF($M40=0,0,J40/$M40))</f>
        <v/>
      </c>
      <c r="P40" s="52"/>
      <c r="Q40" s="42"/>
      <c r="R40" s="42"/>
      <c r="S40" s="42"/>
      <c r="T40" s="42"/>
      <c r="U40" s="43" t="str">
        <f t="shared" ref="U40" si="9">IF($A40="","",IF($T40=0,0,P40/$T40))</f>
        <v/>
      </c>
      <c r="V40" s="347" t="str">
        <f t="shared" ref="V40" si="10">IF($A40="","",IF($T40=0,0,Q40/$T40))</f>
        <v/>
      </c>
    </row>
    <row r="41" spans="1:22" ht="18" customHeight="1">
      <c r="A41" s="77" t="str">
        <f>IF($C$9="Data Not Entered On Set-Up Worksheet","",IF(OR(VLOOKUP($C$9,County_Lookup,25,FALSE)="",VLOOKUP($C$9,County_Lookup,25,FALSE)=0),"",VLOOKUP($C$9,County_Lookup,25,FALSE)))</f>
        <v/>
      </c>
      <c r="B41" s="52"/>
      <c r="C41" s="42"/>
      <c r="D41" s="42"/>
      <c r="E41" s="42"/>
      <c r="F41" s="42"/>
      <c r="G41" s="43" t="str">
        <f t="shared" si="2"/>
        <v/>
      </c>
      <c r="H41" s="347" t="str">
        <f t="shared" si="2"/>
        <v/>
      </c>
      <c r="I41" s="52"/>
      <c r="J41" s="42"/>
      <c r="K41" s="42"/>
      <c r="L41" s="42"/>
      <c r="M41" s="42"/>
      <c r="N41" s="43" t="str">
        <f t="shared" si="3"/>
        <v/>
      </c>
      <c r="O41" s="347" t="str">
        <f t="shared" si="3"/>
        <v/>
      </c>
      <c r="P41" s="52"/>
      <c r="Q41" s="42"/>
      <c r="R41" s="42"/>
      <c r="S41" s="42"/>
      <c r="T41" s="42"/>
      <c r="U41" s="43" t="str">
        <f t="shared" si="4"/>
        <v/>
      </c>
      <c r="V41" s="347" t="str">
        <f t="shared" si="4"/>
        <v/>
      </c>
    </row>
    <row r="42" spans="1:22" ht="18" customHeight="1" thickBot="1">
      <c r="A42" s="78" t="s">
        <v>0</v>
      </c>
      <c r="B42" s="348">
        <f>SUM(B18:B41)</f>
        <v>0</v>
      </c>
      <c r="C42" s="349">
        <f t="shared" ref="C42:F42" si="11">SUM(C18:C41)</f>
        <v>0</v>
      </c>
      <c r="D42" s="349">
        <f t="shared" si="11"/>
        <v>0</v>
      </c>
      <c r="E42" s="349">
        <f t="shared" si="11"/>
        <v>0</v>
      </c>
      <c r="F42" s="349">
        <f t="shared" si="11"/>
        <v>0</v>
      </c>
      <c r="G42" s="353">
        <f t="shared" si="2"/>
        <v>0</v>
      </c>
      <c r="H42" s="354">
        <f t="shared" si="2"/>
        <v>0</v>
      </c>
      <c r="I42" s="348">
        <f>SUM(I18:I41)</f>
        <v>0</v>
      </c>
      <c r="J42" s="349">
        <f t="shared" ref="J42:M42" si="12">SUM(J18:J41)</f>
        <v>0</v>
      </c>
      <c r="K42" s="349">
        <f t="shared" si="12"/>
        <v>0</v>
      </c>
      <c r="L42" s="349">
        <f t="shared" si="12"/>
        <v>0</v>
      </c>
      <c r="M42" s="349">
        <f t="shared" si="12"/>
        <v>0</v>
      </c>
      <c r="N42" s="353">
        <f t="shared" si="3"/>
        <v>0</v>
      </c>
      <c r="O42" s="354">
        <f t="shared" si="3"/>
        <v>0</v>
      </c>
      <c r="P42" s="348">
        <f>SUM(P18:P41)</f>
        <v>0</v>
      </c>
      <c r="Q42" s="349">
        <f t="shared" ref="Q42:T42" si="13">SUM(Q18:Q41)</f>
        <v>0</v>
      </c>
      <c r="R42" s="349">
        <f t="shared" si="13"/>
        <v>0</v>
      </c>
      <c r="S42" s="349">
        <f t="shared" si="13"/>
        <v>0</v>
      </c>
      <c r="T42" s="349">
        <f t="shared" si="13"/>
        <v>0</v>
      </c>
      <c r="U42" s="353">
        <f t="shared" si="4"/>
        <v>0</v>
      </c>
      <c r="V42" s="354">
        <f t="shared" si="4"/>
        <v>0</v>
      </c>
    </row>
    <row r="43" spans="1:22">
      <c r="B43" s="22" t="s">
        <v>405</v>
      </c>
      <c r="I43" s="22" t="s">
        <v>405</v>
      </c>
      <c r="P43" s="22" t="s">
        <v>405</v>
      </c>
    </row>
    <row r="44" spans="1:22" ht="20.100000000000001" customHeight="1">
      <c r="A44" s="312" t="s">
        <v>310</v>
      </c>
      <c r="B44" s="243" t="s">
        <v>414</v>
      </c>
      <c r="C44" s="243"/>
      <c r="D44" s="243"/>
      <c r="E44" s="243"/>
      <c r="F44" s="243"/>
      <c r="G44" s="243"/>
      <c r="H44" s="243"/>
      <c r="I44" s="243" t="s">
        <v>414</v>
      </c>
      <c r="J44" s="243"/>
      <c r="K44" s="243"/>
      <c r="L44" s="243"/>
      <c r="M44" s="243"/>
      <c r="N44" s="243"/>
      <c r="O44" s="243"/>
      <c r="P44" s="243" t="s">
        <v>414</v>
      </c>
      <c r="Q44" s="243"/>
      <c r="R44" s="243"/>
      <c r="S44" s="243"/>
      <c r="T44" s="243"/>
      <c r="U44" s="243"/>
      <c r="V44" s="243"/>
    </row>
    <row r="45" spans="1:22" ht="13.5" thickBot="1"/>
    <row r="46" spans="1:22" ht="18" customHeight="1" thickBot="1">
      <c r="A46" s="226" t="s">
        <v>330</v>
      </c>
      <c r="B46" s="234" t="s">
        <v>39</v>
      </c>
      <c r="C46" s="235"/>
      <c r="D46" s="235"/>
      <c r="E46" s="235"/>
      <c r="F46" s="235"/>
      <c r="G46" s="235"/>
      <c r="H46" s="236"/>
      <c r="I46" s="63" t="s">
        <v>244</v>
      </c>
      <c r="J46" s="231"/>
      <c r="K46" s="231"/>
      <c r="L46" s="231"/>
      <c r="M46" s="231"/>
      <c r="N46" s="231"/>
      <c r="O46" s="232"/>
      <c r="P46" s="234" t="s">
        <v>246</v>
      </c>
      <c r="Q46" s="235"/>
      <c r="R46" s="235"/>
      <c r="S46" s="235"/>
      <c r="T46" s="235"/>
      <c r="U46" s="235"/>
      <c r="V46" s="236"/>
    </row>
    <row r="47" spans="1:22" ht="13.5" thickBot="1">
      <c r="A47" s="30"/>
      <c r="B47" s="37" t="s">
        <v>3</v>
      </c>
      <c r="C47" s="37" t="s">
        <v>3</v>
      </c>
      <c r="D47" s="37"/>
      <c r="E47" s="37"/>
      <c r="F47" s="37" t="s">
        <v>4</v>
      </c>
      <c r="G47" s="37" t="s">
        <v>8</v>
      </c>
      <c r="H47" s="37" t="s">
        <v>8</v>
      </c>
      <c r="I47" s="37" t="s">
        <v>3</v>
      </c>
      <c r="J47" s="37" t="s">
        <v>3</v>
      </c>
      <c r="K47" s="37"/>
      <c r="L47" s="37"/>
      <c r="M47" s="37" t="s">
        <v>4</v>
      </c>
      <c r="N47" s="37" t="s">
        <v>8</v>
      </c>
      <c r="O47" s="37" t="s">
        <v>8</v>
      </c>
      <c r="P47" s="37" t="s">
        <v>3</v>
      </c>
      <c r="Q47" s="37" t="s">
        <v>3</v>
      </c>
      <c r="R47" s="37"/>
      <c r="S47" s="37"/>
      <c r="T47" s="37" t="s">
        <v>4</v>
      </c>
      <c r="U47" s="37" t="s">
        <v>8</v>
      </c>
      <c r="V47" s="37" t="s">
        <v>8</v>
      </c>
    </row>
    <row r="48" spans="1:22" ht="51">
      <c r="A48" s="75" t="s">
        <v>43</v>
      </c>
      <c r="B48" s="350" t="s">
        <v>35</v>
      </c>
      <c r="C48" s="351" t="s">
        <v>33</v>
      </c>
      <c r="D48" s="351" t="s">
        <v>407</v>
      </c>
      <c r="E48" s="351" t="s">
        <v>408</v>
      </c>
      <c r="F48" s="351" t="s">
        <v>30</v>
      </c>
      <c r="G48" s="351" t="s">
        <v>36</v>
      </c>
      <c r="H48" s="352" t="s">
        <v>34</v>
      </c>
      <c r="I48" s="344" t="s">
        <v>35</v>
      </c>
      <c r="J48" s="345" t="s">
        <v>33</v>
      </c>
      <c r="K48" s="345" t="s">
        <v>407</v>
      </c>
      <c r="L48" s="345" t="s">
        <v>408</v>
      </c>
      <c r="M48" s="345" t="s">
        <v>30</v>
      </c>
      <c r="N48" s="345" t="s">
        <v>36</v>
      </c>
      <c r="O48" s="346" t="s">
        <v>34</v>
      </c>
      <c r="P48" s="350" t="s">
        <v>35</v>
      </c>
      <c r="Q48" s="351" t="s">
        <v>33</v>
      </c>
      <c r="R48" s="351" t="s">
        <v>407</v>
      </c>
      <c r="S48" s="351" t="s">
        <v>408</v>
      </c>
      <c r="T48" s="351" t="s">
        <v>30</v>
      </c>
      <c r="U48" s="351" t="s">
        <v>36</v>
      </c>
      <c r="V48" s="352" t="s">
        <v>34</v>
      </c>
    </row>
    <row r="49" spans="1:22" ht="18" customHeight="1">
      <c r="A49" s="76" t="str">
        <f>IF($C$9="Data Not Entered On Set-Up Worksheet","",IF(OR(VLOOKUP($C$9,County_Lookup,2,FALSE)="",VLOOKUP($C$9,County_Lookup,2,FALSE)=0),"",VLOOKUP($C$9,County_Lookup,2,FALSE)))</f>
        <v/>
      </c>
      <c r="B49" s="52"/>
      <c r="C49" s="42"/>
      <c r="D49" s="42"/>
      <c r="E49" s="42"/>
      <c r="F49" s="42"/>
      <c r="G49" s="43" t="str">
        <f>IF($A49="","",IF($F49=0,0,B49/$F49))</f>
        <v/>
      </c>
      <c r="H49" s="347" t="str">
        <f>IF($A49="","",IF($F49=0,0,C49/$F49))</f>
        <v/>
      </c>
      <c r="I49" s="52"/>
      <c r="J49" s="42"/>
      <c r="K49" s="42"/>
      <c r="L49" s="42"/>
      <c r="M49" s="42"/>
      <c r="N49" s="43" t="str">
        <f>IF($A49="","",IF($M49=0,0,I49/$M49))</f>
        <v/>
      </c>
      <c r="O49" s="347" t="str">
        <f>IF($A49="","",IF($M49=0,0,J49/$M49))</f>
        <v/>
      </c>
      <c r="P49" s="52"/>
      <c r="Q49" s="42"/>
      <c r="R49" s="42"/>
      <c r="S49" s="42"/>
      <c r="T49" s="42"/>
      <c r="U49" s="43" t="str">
        <f>IF($A49="","",IF($T49=0,0,P49/$T49))</f>
        <v/>
      </c>
      <c r="V49" s="347" t="str">
        <f>IF($A49="","",IF($T49=0,0,Q49/$T49))</f>
        <v/>
      </c>
    </row>
    <row r="50" spans="1:22" ht="18" customHeight="1">
      <c r="A50" s="77" t="str">
        <f>IF($C$9="Data Not Entered On Set-Up Worksheet","",IF(OR(VLOOKUP($C$9,County_Lookup,3,FALSE)="",VLOOKUP($C$9,County_Lookup,3,FALSE)=0),"",VLOOKUP($C$9,County_Lookup,3,FALSE)))</f>
        <v/>
      </c>
      <c r="B50" s="52"/>
      <c r="C50" s="42"/>
      <c r="D50" s="42"/>
      <c r="E50" s="42"/>
      <c r="F50" s="42"/>
      <c r="G50" s="43" t="str">
        <f t="shared" ref="G50:G73" si="14">IF($A50="","",IF($F50=0,0,B50/$F50))</f>
        <v/>
      </c>
      <c r="H50" s="347" t="str">
        <f t="shared" ref="H50:H73" si="15">IF($A50="","",IF($F50=0,0,C50/$F50))</f>
        <v/>
      </c>
      <c r="I50" s="52"/>
      <c r="J50" s="42"/>
      <c r="K50" s="42"/>
      <c r="L50" s="42"/>
      <c r="M50" s="42"/>
      <c r="N50" s="43" t="str">
        <f t="shared" ref="N50:N73" si="16">IF($A50="","",IF($M50=0,0,I50/$M50))</f>
        <v/>
      </c>
      <c r="O50" s="347" t="str">
        <f t="shared" ref="O50:O73" si="17">IF($A50="","",IF($M50=0,0,J50/$M50))</f>
        <v/>
      </c>
      <c r="P50" s="52"/>
      <c r="Q50" s="42"/>
      <c r="R50" s="42"/>
      <c r="S50" s="42"/>
      <c r="T50" s="42"/>
      <c r="U50" s="43" t="str">
        <f t="shared" ref="U50:U73" si="18">IF($A50="","",IF($T50=0,0,P50/$T50))</f>
        <v/>
      </c>
      <c r="V50" s="347" t="str">
        <f t="shared" ref="V50:V73" si="19">IF($A50="","",IF($T50=0,0,Q50/$T50))</f>
        <v/>
      </c>
    </row>
    <row r="51" spans="1:22" ht="18" customHeight="1">
      <c r="A51" s="77" t="str">
        <f>IF($C$9="Data Not Entered On Set-Up Worksheet","",IF(OR(VLOOKUP($C$9,County_Lookup,4,FALSE)="",VLOOKUP($C$9,County_Lookup,4,FALSE)=0),"",VLOOKUP($C$9,County_Lookup,4,FALSE)))</f>
        <v/>
      </c>
      <c r="B51" s="52"/>
      <c r="C51" s="42"/>
      <c r="D51" s="42"/>
      <c r="E51" s="42"/>
      <c r="F51" s="42"/>
      <c r="G51" s="43" t="str">
        <f t="shared" si="14"/>
        <v/>
      </c>
      <c r="H51" s="347" t="str">
        <f t="shared" si="15"/>
        <v/>
      </c>
      <c r="I51" s="52"/>
      <c r="J51" s="42"/>
      <c r="K51" s="42"/>
      <c r="L51" s="42"/>
      <c r="M51" s="42"/>
      <c r="N51" s="43" t="str">
        <f t="shared" si="16"/>
        <v/>
      </c>
      <c r="O51" s="347" t="str">
        <f t="shared" si="17"/>
        <v/>
      </c>
      <c r="P51" s="52"/>
      <c r="Q51" s="42"/>
      <c r="R51" s="42"/>
      <c r="S51" s="42"/>
      <c r="T51" s="42"/>
      <c r="U51" s="43" t="str">
        <f t="shared" si="18"/>
        <v/>
      </c>
      <c r="V51" s="347" t="str">
        <f t="shared" si="19"/>
        <v/>
      </c>
    </row>
    <row r="52" spans="1:22" ht="18" customHeight="1">
      <c r="A52" s="77" t="str">
        <f>IF($C$9="Data Not Entered On Set-Up Worksheet","",IF(OR(VLOOKUP($C$9,County_Lookup,5,FALSE)="",VLOOKUP($C$9,County_Lookup,5,FALSE)=0),"",VLOOKUP($C$9,County_Lookup,5,FALSE)))</f>
        <v/>
      </c>
      <c r="B52" s="52"/>
      <c r="C52" s="42"/>
      <c r="D52" s="42"/>
      <c r="E52" s="42"/>
      <c r="F52" s="42"/>
      <c r="G52" s="43" t="str">
        <f t="shared" si="14"/>
        <v/>
      </c>
      <c r="H52" s="347" t="str">
        <f t="shared" si="15"/>
        <v/>
      </c>
      <c r="I52" s="52"/>
      <c r="J52" s="42"/>
      <c r="K52" s="42"/>
      <c r="L52" s="42"/>
      <c r="M52" s="42"/>
      <c r="N52" s="43" t="str">
        <f t="shared" si="16"/>
        <v/>
      </c>
      <c r="O52" s="347" t="str">
        <f t="shared" si="17"/>
        <v/>
      </c>
      <c r="P52" s="52"/>
      <c r="Q52" s="42"/>
      <c r="R52" s="42"/>
      <c r="S52" s="42"/>
      <c r="T52" s="42"/>
      <c r="U52" s="43" t="str">
        <f t="shared" si="18"/>
        <v/>
      </c>
      <c r="V52" s="347" t="str">
        <f t="shared" si="19"/>
        <v/>
      </c>
    </row>
    <row r="53" spans="1:22" ht="18" customHeight="1">
      <c r="A53" s="77" t="str">
        <f>IF($C$9="Data Not Entered On Set-Up Worksheet","",IF(OR(VLOOKUP($C$9,County_Lookup,6,FALSE)="",VLOOKUP($C$9,County_Lookup,6,FALSE)=0),"",VLOOKUP($C$9,County_Lookup,6,FALSE)))</f>
        <v/>
      </c>
      <c r="B53" s="52"/>
      <c r="C53" s="42"/>
      <c r="D53" s="42"/>
      <c r="E53" s="42"/>
      <c r="F53" s="42"/>
      <c r="G53" s="43" t="str">
        <f t="shared" si="14"/>
        <v/>
      </c>
      <c r="H53" s="347" t="str">
        <f t="shared" si="15"/>
        <v/>
      </c>
      <c r="I53" s="52"/>
      <c r="J53" s="42"/>
      <c r="K53" s="42"/>
      <c r="L53" s="42"/>
      <c r="M53" s="42"/>
      <c r="N53" s="43" t="str">
        <f t="shared" si="16"/>
        <v/>
      </c>
      <c r="O53" s="347" t="str">
        <f t="shared" si="17"/>
        <v/>
      </c>
      <c r="P53" s="52"/>
      <c r="Q53" s="42"/>
      <c r="R53" s="42"/>
      <c r="S53" s="42"/>
      <c r="T53" s="42"/>
      <c r="U53" s="43" t="str">
        <f t="shared" si="18"/>
        <v/>
      </c>
      <c r="V53" s="347" t="str">
        <f t="shared" si="19"/>
        <v/>
      </c>
    </row>
    <row r="54" spans="1:22" ht="18" customHeight="1">
      <c r="A54" s="77" t="str">
        <f>IF($C$9="Data Not Entered On Set-Up Worksheet","",IF(OR(VLOOKUP($C$9,County_Lookup,7,FALSE)="",VLOOKUP($C$9,County_Lookup,7,FALSE)=0),"",VLOOKUP($C$9,County_Lookup,7,FALSE)))</f>
        <v/>
      </c>
      <c r="B54" s="52"/>
      <c r="C54" s="42"/>
      <c r="D54" s="42"/>
      <c r="E54" s="42"/>
      <c r="F54" s="42"/>
      <c r="G54" s="43" t="str">
        <f t="shared" si="14"/>
        <v/>
      </c>
      <c r="H54" s="347" t="str">
        <f t="shared" si="15"/>
        <v/>
      </c>
      <c r="I54" s="52"/>
      <c r="J54" s="42"/>
      <c r="K54" s="42"/>
      <c r="L54" s="42"/>
      <c r="M54" s="42"/>
      <c r="N54" s="43" t="str">
        <f t="shared" si="16"/>
        <v/>
      </c>
      <c r="O54" s="347" t="str">
        <f t="shared" si="17"/>
        <v/>
      </c>
      <c r="P54" s="52"/>
      <c r="Q54" s="42"/>
      <c r="R54" s="42"/>
      <c r="S54" s="42"/>
      <c r="T54" s="42"/>
      <c r="U54" s="43" t="str">
        <f t="shared" si="18"/>
        <v/>
      </c>
      <c r="V54" s="347" t="str">
        <f t="shared" si="19"/>
        <v/>
      </c>
    </row>
    <row r="55" spans="1:22" ht="18" customHeight="1">
      <c r="A55" s="76" t="str">
        <f>IF($C$9="Data Not Entered On Set-Up Worksheet","",IF(OR(VLOOKUP($C$9,County_Lookup,8,FALSE)="",VLOOKUP($C$9,County_Lookup,8,FALSE)=0),"",VLOOKUP($C$9,County_Lookup,8,FALSE)))</f>
        <v/>
      </c>
      <c r="B55" s="52"/>
      <c r="C55" s="42"/>
      <c r="D55" s="42"/>
      <c r="E55" s="42"/>
      <c r="F55" s="42"/>
      <c r="G55" s="43" t="str">
        <f t="shared" si="14"/>
        <v/>
      </c>
      <c r="H55" s="347" t="str">
        <f t="shared" si="15"/>
        <v/>
      </c>
      <c r="I55" s="52"/>
      <c r="J55" s="42"/>
      <c r="K55" s="42"/>
      <c r="L55" s="42"/>
      <c r="M55" s="42"/>
      <c r="N55" s="43" t="str">
        <f t="shared" si="16"/>
        <v/>
      </c>
      <c r="O55" s="347" t="str">
        <f t="shared" si="17"/>
        <v/>
      </c>
      <c r="P55" s="52"/>
      <c r="Q55" s="42"/>
      <c r="R55" s="42"/>
      <c r="S55" s="42"/>
      <c r="T55" s="42"/>
      <c r="U55" s="43" t="str">
        <f t="shared" si="18"/>
        <v/>
      </c>
      <c r="V55" s="347" t="str">
        <f t="shared" si="19"/>
        <v/>
      </c>
    </row>
    <row r="56" spans="1:22" ht="18" customHeight="1">
      <c r="A56" s="77" t="str">
        <f>IF($C$9="Data Not Entered On Set-Up Worksheet","",IF(OR(VLOOKUP($C$9,County_Lookup,9,FALSE)="",VLOOKUP($C$9,County_Lookup,9,FALSE)=0),"",VLOOKUP($C$9,County_Lookup,9,FALSE)))</f>
        <v/>
      </c>
      <c r="B56" s="52"/>
      <c r="C56" s="42"/>
      <c r="D56" s="42"/>
      <c r="E56" s="42"/>
      <c r="F56" s="42"/>
      <c r="G56" s="43" t="str">
        <f t="shared" si="14"/>
        <v/>
      </c>
      <c r="H56" s="347" t="str">
        <f t="shared" si="15"/>
        <v/>
      </c>
      <c r="I56" s="52"/>
      <c r="J56" s="42"/>
      <c r="K56" s="42"/>
      <c r="L56" s="42"/>
      <c r="M56" s="42"/>
      <c r="N56" s="43" t="str">
        <f t="shared" si="16"/>
        <v/>
      </c>
      <c r="O56" s="347" t="str">
        <f t="shared" si="17"/>
        <v/>
      </c>
      <c r="P56" s="52"/>
      <c r="Q56" s="42"/>
      <c r="R56" s="42"/>
      <c r="S56" s="42"/>
      <c r="T56" s="42"/>
      <c r="U56" s="43" t="str">
        <f t="shared" si="18"/>
        <v/>
      </c>
      <c r="V56" s="347" t="str">
        <f t="shared" si="19"/>
        <v/>
      </c>
    </row>
    <row r="57" spans="1:22" ht="18" customHeight="1">
      <c r="A57" s="77" t="str">
        <f>IF($C$9="Data Not Entered On Set-Up Worksheet","",IF(OR(VLOOKUP($C$9,County_Lookup,10,FALSE)="",VLOOKUP($C$9,County_Lookup,10,FALSE)=0),"",VLOOKUP($C$9,County_Lookup,10,FALSE)))</f>
        <v/>
      </c>
      <c r="B57" s="52"/>
      <c r="C57" s="42"/>
      <c r="D57" s="42"/>
      <c r="E57" s="42"/>
      <c r="F57" s="42"/>
      <c r="G57" s="43" t="str">
        <f t="shared" si="14"/>
        <v/>
      </c>
      <c r="H57" s="347" t="str">
        <f t="shared" si="15"/>
        <v/>
      </c>
      <c r="I57" s="52"/>
      <c r="J57" s="42"/>
      <c r="K57" s="42"/>
      <c r="L57" s="42"/>
      <c r="M57" s="42"/>
      <c r="N57" s="43" t="str">
        <f t="shared" si="16"/>
        <v/>
      </c>
      <c r="O57" s="347" t="str">
        <f t="shared" si="17"/>
        <v/>
      </c>
      <c r="P57" s="52"/>
      <c r="Q57" s="42"/>
      <c r="R57" s="42"/>
      <c r="S57" s="42"/>
      <c r="T57" s="42"/>
      <c r="U57" s="43" t="str">
        <f t="shared" si="18"/>
        <v/>
      </c>
      <c r="V57" s="347" t="str">
        <f t="shared" si="19"/>
        <v/>
      </c>
    </row>
    <row r="58" spans="1:22" ht="18" customHeight="1">
      <c r="A58" s="77" t="str">
        <f>IF($C$9="Data Not Entered On Set-Up Worksheet","",IF(OR(VLOOKUP($C$9,County_Lookup,11,FALSE)="",VLOOKUP($C$9,County_Lookup,11,FALSE)=0),"",VLOOKUP($C$9,County_Lookup,11,FALSE)))</f>
        <v/>
      </c>
      <c r="B58" s="52"/>
      <c r="C58" s="42"/>
      <c r="D58" s="42"/>
      <c r="E58" s="42"/>
      <c r="F58" s="42"/>
      <c r="G58" s="43" t="str">
        <f t="shared" si="14"/>
        <v/>
      </c>
      <c r="H58" s="347" t="str">
        <f t="shared" si="15"/>
        <v/>
      </c>
      <c r="I58" s="52"/>
      <c r="J58" s="42"/>
      <c r="K58" s="42"/>
      <c r="L58" s="42"/>
      <c r="M58" s="42"/>
      <c r="N58" s="43" t="str">
        <f t="shared" si="16"/>
        <v/>
      </c>
      <c r="O58" s="347" t="str">
        <f t="shared" si="17"/>
        <v/>
      </c>
      <c r="P58" s="52"/>
      <c r="Q58" s="42"/>
      <c r="R58" s="42"/>
      <c r="S58" s="42"/>
      <c r="T58" s="42"/>
      <c r="U58" s="43" t="str">
        <f t="shared" si="18"/>
        <v/>
      </c>
      <c r="V58" s="347" t="str">
        <f t="shared" si="19"/>
        <v/>
      </c>
    </row>
    <row r="59" spans="1:22" ht="18" customHeight="1">
      <c r="A59" s="77" t="str">
        <f>IF($C$9="Data Not Entered On Set-Up Worksheet","",IF(OR(VLOOKUP($C$9,County_Lookup,12,FALSE)="",VLOOKUP($C$9,County_Lookup,12,FALSE)=0),"",VLOOKUP($C$9,County_Lookup,12,FALSE)))</f>
        <v/>
      </c>
      <c r="B59" s="52"/>
      <c r="C59" s="42"/>
      <c r="D59" s="42"/>
      <c r="E59" s="42"/>
      <c r="F59" s="42"/>
      <c r="G59" s="43" t="str">
        <f t="shared" si="14"/>
        <v/>
      </c>
      <c r="H59" s="347" t="str">
        <f t="shared" si="15"/>
        <v/>
      </c>
      <c r="I59" s="52"/>
      <c r="J59" s="42"/>
      <c r="K59" s="42"/>
      <c r="L59" s="42"/>
      <c r="M59" s="42"/>
      <c r="N59" s="43" t="str">
        <f t="shared" si="16"/>
        <v/>
      </c>
      <c r="O59" s="347" t="str">
        <f t="shared" si="17"/>
        <v/>
      </c>
      <c r="P59" s="52"/>
      <c r="Q59" s="42"/>
      <c r="R59" s="42"/>
      <c r="S59" s="42"/>
      <c r="T59" s="42"/>
      <c r="U59" s="43" t="str">
        <f t="shared" si="18"/>
        <v/>
      </c>
      <c r="V59" s="347" t="str">
        <f t="shared" si="19"/>
        <v/>
      </c>
    </row>
    <row r="60" spans="1:22" ht="18" customHeight="1">
      <c r="A60" s="77" t="str">
        <f>IF($C$9="Data Not Entered On Set-Up Worksheet","",IF(OR(VLOOKUP($C$9,County_Lookup,13,FALSE)="",VLOOKUP($C$9,County_Lookup,13,FALSE)=0),"",VLOOKUP($C$9,County_Lookup,13,FALSE)))</f>
        <v/>
      </c>
      <c r="B60" s="52"/>
      <c r="C60" s="42"/>
      <c r="D60" s="42"/>
      <c r="E60" s="42"/>
      <c r="F60" s="42"/>
      <c r="G60" s="43" t="str">
        <f t="shared" si="14"/>
        <v/>
      </c>
      <c r="H60" s="347" t="str">
        <f t="shared" si="15"/>
        <v/>
      </c>
      <c r="I60" s="52"/>
      <c r="J60" s="42"/>
      <c r="K60" s="42"/>
      <c r="L60" s="42"/>
      <c r="M60" s="42"/>
      <c r="N60" s="43" t="str">
        <f t="shared" si="16"/>
        <v/>
      </c>
      <c r="O60" s="347" t="str">
        <f t="shared" si="17"/>
        <v/>
      </c>
      <c r="P60" s="52"/>
      <c r="Q60" s="42"/>
      <c r="R60" s="42"/>
      <c r="S60" s="42"/>
      <c r="T60" s="42"/>
      <c r="U60" s="43" t="str">
        <f t="shared" si="18"/>
        <v/>
      </c>
      <c r="V60" s="347" t="str">
        <f t="shared" si="19"/>
        <v/>
      </c>
    </row>
    <row r="61" spans="1:22" ht="18" customHeight="1">
      <c r="A61" s="77" t="str">
        <f>IF($C$9="Data Not Entered On Set-Up Worksheet","",IF(OR(VLOOKUP($C$9,County_Lookup,14,FALSE)="",VLOOKUP($C$9,County_Lookup,14,FALSE)=0),"",VLOOKUP($C$9,County_Lookup,14,FALSE)))</f>
        <v/>
      </c>
      <c r="B61" s="52"/>
      <c r="C61" s="42"/>
      <c r="D61" s="42"/>
      <c r="E61" s="42"/>
      <c r="F61" s="42"/>
      <c r="G61" s="43" t="str">
        <f t="shared" si="14"/>
        <v/>
      </c>
      <c r="H61" s="347" t="str">
        <f t="shared" si="15"/>
        <v/>
      </c>
      <c r="I61" s="52"/>
      <c r="J61" s="42"/>
      <c r="K61" s="42"/>
      <c r="L61" s="42"/>
      <c r="M61" s="42"/>
      <c r="N61" s="43" t="str">
        <f t="shared" si="16"/>
        <v/>
      </c>
      <c r="O61" s="347" t="str">
        <f t="shared" si="17"/>
        <v/>
      </c>
      <c r="P61" s="52"/>
      <c r="Q61" s="42"/>
      <c r="R61" s="42"/>
      <c r="S61" s="42"/>
      <c r="T61" s="42"/>
      <c r="U61" s="43" t="str">
        <f t="shared" si="18"/>
        <v/>
      </c>
      <c r="V61" s="347" t="str">
        <f t="shared" si="19"/>
        <v/>
      </c>
    </row>
    <row r="62" spans="1:22" ht="18" customHeight="1">
      <c r="A62" s="76" t="str">
        <f>IF($C$9="Data Not Entered On Set-Up Worksheet","",IF(OR(VLOOKUP($C$9,County_Lookup,15,FALSE)="",VLOOKUP($C$9,County_Lookup,15,FALSE)=0),"",VLOOKUP($C$9,County_Lookup,15,FALSE)))</f>
        <v/>
      </c>
      <c r="B62" s="52"/>
      <c r="C62" s="42"/>
      <c r="D62" s="42"/>
      <c r="E62" s="42"/>
      <c r="F62" s="42"/>
      <c r="G62" s="43" t="str">
        <f t="shared" si="14"/>
        <v/>
      </c>
      <c r="H62" s="347" t="str">
        <f t="shared" si="15"/>
        <v/>
      </c>
      <c r="I62" s="52"/>
      <c r="J62" s="42"/>
      <c r="K62" s="42"/>
      <c r="L62" s="42"/>
      <c r="M62" s="42"/>
      <c r="N62" s="43" t="str">
        <f t="shared" si="16"/>
        <v/>
      </c>
      <c r="O62" s="347" t="str">
        <f t="shared" si="17"/>
        <v/>
      </c>
      <c r="P62" s="52"/>
      <c r="Q62" s="42"/>
      <c r="R62" s="42"/>
      <c r="S62" s="42"/>
      <c r="T62" s="42"/>
      <c r="U62" s="43" t="str">
        <f t="shared" si="18"/>
        <v/>
      </c>
      <c r="V62" s="347" t="str">
        <f t="shared" si="19"/>
        <v/>
      </c>
    </row>
    <row r="63" spans="1:22" ht="18" customHeight="1">
      <c r="A63" s="77" t="str">
        <f>IF($C$9="Data Not Entered On Set-Up Worksheet","",IF(OR(VLOOKUP($C$9,County_Lookup,16,FALSE)="",VLOOKUP($C$9,County_Lookup,16,FALSE)=0),"",VLOOKUP($C$9,County_Lookup,16,FALSE)))</f>
        <v/>
      </c>
      <c r="B63" s="52"/>
      <c r="C63" s="42"/>
      <c r="D63" s="42"/>
      <c r="E63" s="42"/>
      <c r="F63" s="42"/>
      <c r="G63" s="43" t="str">
        <f t="shared" si="14"/>
        <v/>
      </c>
      <c r="H63" s="347" t="str">
        <f t="shared" si="15"/>
        <v/>
      </c>
      <c r="I63" s="52"/>
      <c r="J63" s="42"/>
      <c r="K63" s="42"/>
      <c r="L63" s="42"/>
      <c r="M63" s="42"/>
      <c r="N63" s="43" t="str">
        <f t="shared" si="16"/>
        <v/>
      </c>
      <c r="O63" s="347" t="str">
        <f t="shared" si="17"/>
        <v/>
      </c>
      <c r="P63" s="52"/>
      <c r="Q63" s="42"/>
      <c r="R63" s="42"/>
      <c r="S63" s="42"/>
      <c r="T63" s="42"/>
      <c r="U63" s="43" t="str">
        <f t="shared" si="18"/>
        <v/>
      </c>
      <c r="V63" s="347" t="str">
        <f t="shared" si="19"/>
        <v/>
      </c>
    </row>
    <row r="64" spans="1:22" ht="18" customHeight="1">
      <c r="A64" s="77" t="str">
        <f>IF($C$9="Data Not Entered On Set-Up Worksheet","",IF(OR(VLOOKUP($C$9,County_Lookup,17,FALSE)="",VLOOKUP($C$9,County_Lookup,17,FALSE)=0),"",VLOOKUP($C$9,County_Lookup,17,FALSE)))</f>
        <v/>
      </c>
      <c r="B64" s="52"/>
      <c r="C64" s="42"/>
      <c r="D64" s="42"/>
      <c r="E64" s="42"/>
      <c r="F64" s="42"/>
      <c r="G64" s="43" t="str">
        <f t="shared" si="14"/>
        <v/>
      </c>
      <c r="H64" s="347" t="str">
        <f t="shared" si="15"/>
        <v/>
      </c>
      <c r="I64" s="52"/>
      <c r="J64" s="42"/>
      <c r="K64" s="42"/>
      <c r="L64" s="42"/>
      <c r="M64" s="42"/>
      <c r="N64" s="43" t="str">
        <f t="shared" si="16"/>
        <v/>
      </c>
      <c r="O64" s="347" t="str">
        <f t="shared" si="17"/>
        <v/>
      </c>
      <c r="P64" s="52"/>
      <c r="Q64" s="42"/>
      <c r="R64" s="42"/>
      <c r="S64" s="42"/>
      <c r="T64" s="42"/>
      <c r="U64" s="43" t="str">
        <f t="shared" si="18"/>
        <v/>
      </c>
      <c r="V64" s="347" t="str">
        <f t="shared" si="19"/>
        <v/>
      </c>
    </row>
    <row r="65" spans="1:22" ht="18" customHeight="1">
      <c r="A65" s="77" t="str">
        <f>IF($C$9="Data Not Entered On Set-Up Worksheet","",IF(OR(VLOOKUP($C$9,County_Lookup,18,FALSE)="",VLOOKUP($C$9,County_Lookup,18,FALSE)=0),"",VLOOKUP($C$9,County_Lookup,18,FALSE)))</f>
        <v/>
      </c>
      <c r="B65" s="52"/>
      <c r="C65" s="42"/>
      <c r="D65" s="42"/>
      <c r="E65" s="42"/>
      <c r="F65" s="42"/>
      <c r="G65" s="43" t="str">
        <f t="shared" si="14"/>
        <v/>
      </c>
      <c r="H65" s="347" t="str">
        <f t="shared" si="15"/>
        <v/>
      </c>
      <c r="I65" s="52"/>
      <c r="J65" s="42"/>
      <c r="K65" s="42"/>
      <c r="L65" s="42"/>
      <c r="M65" s="42"/>
      <c r="N65" s="43" t="str">
        <f t="shared" si="16"/>
        <v/>
      </c>
      <c r="O65" s="347" t="str">
        <f t="shared" si="17"/>
        <v/>
      </c>
      <c r="P65" s="52"/>
      <c r="Q65" s="42"/>
      <c r="R65" s="42"/>
      <c r="S65" s="42"/>
      <c r="T65" s="42"/>
      <c r="U65" s="43" t="str">
        <f t="shared" si="18"/>
        <v/>
      </c>
      <c r="V65" s="347" t="str">
        <f t="shared" si="19"/>
        <v/>
      </c>
    </row>
    <row r="66" spans="1:22" ht="18" customHeight="1">
      <c r="A66" s="77" t="str">
        <f>IF($C$9="Data Not Entered On Set-Up Worksheet","",IF(OR(VLOOKUP($C$9,County_Lookup,19,FALSE)="",VLOOKUP($C$9,County_Lookup,19,FALSE)=0),"",VLOOKUP($C$9,County_Lookup,19,FALSE)))</f>
        <v/>
      </c>
      <c r="B66" s="52"/>
      <c r="C66" s="42"/>
      <c r="D66" s="42"/>
      <c r="E66" s="42"/>
      <c r="F66" s="42"/>
      <c r="G66" s="43" t="str">
        <f t="shared" si="14"/>
        <v/>
      </c>
      <c r="H66" s="347" t="str">
        <f t="shared" si="15"/>
        <v/>
      </c>
      <c r="I66" s="52"/>
      <c r="J66" s="42"/>
      <c r="K66" s="42"/>
      <c r="L66" s="42"/>
      <c r="M66" s="42"/>
      <c r="N66" s="43" t="str">
        <f t="shared" si="16"/>
        <v/>
      </c>
      <c r="O66" s="347" t="str">
        <f t="shared" si="17"/>
        <v/>
      </c>
      <c r="P66" s="52"/>
      <c r="Q66" s="42"/>
      <c r="R66" s="42"/>
      <c r="S66" s="42"/>
      <c r="T66" s="42"/>
      <c r="U66" s="43" t="str">
        <f t="shared" si="18"/>
        <v/>
      </c>
      <c r="V66" s="347" t="str">
        <f t="shared" si="19"/>
        <v/>
      </c>
    </row>
    <row r="67" spans="1:22" ht="18" customHeight="1">
      <c r="A67" s="77" t="str">
        <f>IF($C$9="Data Not Entered On Set-Up Worksheet","",IF(OR(VLOOKUP($C$9,County_Lookup,20,FALSE)="",VLOOKUP($C$9,County_Lookup,20,FALSE)=0),"",VLOOKUP($C$9,County_Lookup,20,FALSE)))</f>
        <v/>
      </c>
      <c r="B67" s="52"/>
      <c r="C67" s="42"/>
      <c r="D67" s="42"/>
      <c r="E67" s="42"/>
      <c r="F67" s="42"/>
      <c r="G67" s="43" t="str">
        <f t="shared" si="14"/>
        <v/>
      </c>
      <c r="H67" s="347" t="str">
        <f t="shared" si="15"/>
        <v/>
      </c>
      <c r="I67" s="52"/>
      <c r="J67" s="42"/>
      <c r="K67" s="42"/>
      <c r="L67" s="42"/>
      <c r="M67" s="42"/>
      <c r="N67" s="43" t="str">
        <f t="shared" si="16"/>
        <v/>
      </c>
      <c r="O67" s="347" t="str">
        <f t="shared" si="17"/>
        <v/>
      </c>
      <c r="P67" s="52"/>
      <c r="Q67" s="42"/>
      <c r="R67" s="42"/>
      <c r="S67" s="42"/>
      <c r="T67" s="42"/>
      <c r="U67" s="43" t="str">
        <f t="shared" si="18"/>
        <v/>
      </c>
      <c r="V67" s="347" t="str">
        <f t="shared" si="19"/>
        <v/>
      </c>
    </row>
    <row r="68" spans="1:22" ht="18" customHeight="1">
      <c r="A68" s="77" t="str">
        <f>IF($C$9="Data Not Entered On Set-Up Worksheet","",IF(OR(VLOOKUP($C$9,County_Lookup,21,FALSE)="",VLOOKUP($C$9,County_Lookup,21,FALSE)=0),"",VLOOKUP($C$9,County_Lookup,21,FALSE)))</f>
        <v/>
      </c>
      <c r="B68" s="52"/>
      <c r="C68" s="42"/>
      <c r="D68" s="42"/>
      <c r="E68" s="42"/>
      <c r="F68" s="42"/>
      <c r="G68" s="43" t="str">
        <f t="shared" si="14"/>
        <v/>
      </c>
      <c r="H68" s="347" t="str">
        <f t="shared" si="15"/>
        <v/>
      </c>
      <c r="I68" s="52"/>
      <c r="J68" s="42"/>
      <c r="K68" s="42"/>
      <c r="L68" s="42"/>
      <c r="M68" s="42"/>
      <c r="N68" s="43" t="str">
        <f t="shared" si="16"/>
        <v/>
      </c>
      <c r="O68" s="347" t="str">
        <f t="shared" si="17"/>
        <v/>
      </c>
      <c r="P68" s="52"/>
      <c r="Q68" s="42"/>
      <c r="R68" s="42"/>
      <c r="S68" s="42"/>
      <c r="T68" s="42"/>
      <c r="U68" s="43" t="str">
        <f t="shared" si="18"/>
        <v/>
      </c>
      <c r="V68" s="347" t="str">
        <f t="shared" si="19"/>
        <v/>
      </c>
    </row>
    <row r="69" spans="1:22" ht="18" customHeight="1">
      <c r="A69" s="76" t="str">
        <f>IF($C$9="Data Not Entered On Set-Up Worksheet","",IF(OR(VLOOKUP($C$9,County_Lookup,22,FALSE)="",VLOOKUP($C$9,County_Lookup,22,FALSE)=0),"",VLOOKUP($C$9,County_Lookup,22,FALSE)))</f>
        <v/>
      </c>
      <c r="B69" s="52"/>
      <c r="C69" s="42"/>
      <c r="D69" s="42"/>
      <c r="E69" s="42"/>
      <c r="F69" s="42"/>
      <c r="G69" s="43" t="str">
        <f t="shared" si="14"/>
        <v/>
      </c>
      <c r="H69" s="347" t="str">
        <f t="shared" si="15"/>
        <v/>
      </c>
      <c r="I69" s="52"/>
      <c r="J69" s="42"/>
      <c r="K69" s="42"/>
      <c r="L69" s="42"/>
      <c r="M69" s="42"/>
      <c r="N69" s="43" t="str">
        <f t="shared" si="16"/>
        <v/>
      </c>
      <c r="O69" s="347" t="str">
        <f t="shared" si="17"/>
        <v/>
      </c>
      <c r="P69" s="52"/>
      <c r="Q69" s="42"/>
      <c r="R69" s="42"/>
      <c r="S69" s="42"/>
      <c r="T69" s="42"/>
      <c r="U69" s="43" t="str">
        <f t="shared" si="18"/>
        <v/>
      </c>
      <c r="V69" s="347" t="str">
        <f t="shared" si="19"/>
        <v/>
      </c>
    </row>
    <row r="70" spans="1:22" ht="18" customHeight="1">
      <c r="A70" s="77" t="str">
        <f>IF($C$9="Data Not Entered On Set-Up Worksheet","",IF(OR(VLOOKUP($C$9,County_Lookup,23,FALSE)="",VLOOKUP($C$9,County_Lookup,23,FALSE)=0),"",VLOOKUP($C$9,County_Lookup,23,FALSE)))</f>
        <v/>
      </c>
      <c r="B70" s="52"/>
      <c r="C70" s="42"/>
      <c r="D70" s="42"/>
      <c r="E70" s="42"/>
      <c r="F70" s="42"/>
      <c r="G70" s="43" t="str">
        <f t="shared" si="14"/>
        <v/>
      </c>
      <c r="H70" s="347" t="str">
        <f t="shared" si="15"/>
        <v/>
      </c>
      <c r="I70" s="52"/>
      <c r="J70" s="42"/>
      <c r="K70" s="42"/>
      <c r="L70" s="42"/>
      <c r="M70" s="42"/>
      <c r="N70" s="43" t="str">
        <f t="shared" si="16"/>
        <v/>
      </c>
      <c r="O70" s="347" t="str">
        <f t="shared" si="17"/>
        <v/>
      </c>
      <c r="P70" s="52"/>
      <c r="Q70" s="42"/>
      <c r="R70" s="42"/>
      <c r="S70" s="42"/>
      <c r="T70" s="42"/>
      <c r="U70" s="43" t="str">
        <f t="shared" si="18"/>
        <v/>
      </c>
      <c r="V70" s="347" t="str">
        <f t="shared" si="19"/>
        <v/>
      </c>
    </row>
    <row r="71" spans="1:22" ht="18" customHeight="1">
      <c r="A71" s="77" t="str">
        <f>IF($C$9="Data Not Entered On Set-Up Worksheet","",IF(OR(VLOOKUP($C$9,County_Lookup,24,FALSE)="",VLOOKUP($C$9,County_Lookup,24,FALSE)=0),"",VLOOKUP($C$9,County_Lookup,24,FALSE)))</f>
        <v/>
      </c>
      <c r="B71" s="52"/>
      <c r="C71" s="42"/>
      <c r="D71" s="42"/>
      <c r="E71" s="42"/>
      <c r="F71" s="42"/>
      <c r="G71" s="43" t="str">
        <f t="shared" ref="G71" si="20">IF($A71="","",IF($F71=0,0,B71/$F71))</f>
        <v/>
      </c>
      <c r="H71" s="347" t="str">
        <f t="shared" ref="H71" si="21">IF($A71="","",IF($F71=0,0,C71/$F71))</f>
        <v/>
      </c>
      <c r="I71" s="52"/>
      <c r="J71" s="42"/>
      <c r="K71" s="42"/>
      <c r="L71" s="42"/>
      <c r="M71" s="42"/>
      <c r="N71" s="43" t="str">
        <f t="shared" ref="N71" si="22">IF($A71="","",IF($M71=0,0,I71/$M71))</f>
        <v/>
      </c>
      <c r="O71" s="347" t="str">
        <f t="shared" ref="O71" si="23">IF($A71="","",IF($M71=0,0,J71/$M71))</f>
        <v/>
      </c>
      <c r="P71" s="52"/>
      <c r="Q71" s="42"/>
      <c r="R71" s="42"/>
      <c r="S71" s="42"/>
      <c r="T71" s="42"/>
      <c r="U71" s="43" t="str">
        <f t="shared" ref="U71" si="24">IF($A71="","",IF($T71=0,0,P71/$T71))</f>
        <v/>
      </c>
      <c r="V71" s="347" t="str">
        <f t="shared" ref="V71" si="25">IF($A71="","",IF($T71=0,0,Q71/$T71))</f>
        <v/>
      </c>
    </row>
    <row r="72" spans="1:22" ht="18" customHeight="1">
      <c r="A72" s="77" t="str">
        <f>IF($C$9="Data Not Entered On Set-Up Worksheet","",IF(OR(VLOOKUP($C$9,County_Lookup,25,FALSE)="",VLOOKUP($C$9,County_Lookup,25,FALSE)=0),"",VLOOKUP($C$9,County_Lookup,25,FALSE)))</f>
        <v/>
      </c>
      <c r="B72" s="52"/>
      <c r="C72" s="42"/>
      <c r="D72" s="42"/>
      <c r="E72" s="42"/>
      <c r="F72" s="42"/>
      <c r="G72" s="43" t="str">
        <f t="shared" si="14"/>
        <v/>
      </c>
      <c r="H72" s="347" t="str">
        <f t="shared" si="15"/>
        <v/>
      </c>
      <c r="I72" s="52"/>
      <c r="J72" s="42"/>
      <c r="K72" s="42"/>
      <c r="L72" s="42"/>
      <c r="M72" s="42"/>
      <c r="N72" s="43" t="str">
        <f t="shared" si="16"/>
        <v/>
      </c>
      <c r="O72" s="347" t="str">
        <f t="shared" si="17"/>
        <v/>
      </c>
      <c r="P72" s="52"/>
      <c r="Q72" s="42"/>
      <c r="R72" s="42"/>
      <c r="S72" s="42"/>
      <c r="T72" s="42"/>
      <c r="U72" s="43" t="str">
        <f t="shared" si="18"/>
        <v/>
      </c>
      <c r="V72" s="347" t="str">
        <f t="shared" si="19"/>
        <v/>
      </c>
    </row>
    <row r="73" spans="1:22" ht="18" customHeight="1" thickBot="1">
      <c r="A73" s="78" t="s">
        <v>0</v>
      </c>
      <c r="B73" s="348">
        <f>SUM(B49:B72)</f>
        <v>0</v>
      </c>
      <c r="C73" s="349">
        <f t="shared" ref="C73" si="26">SUM(C49:C72)</f>
        <v>0</v>
      </c>
      <c r="D73" s="349">
        <f t="shared" ref="D73" si="27">SUM(D49:D72)</f>
        <v>0</v>
      </c>
      <c r="E73" s="349">
        <f t="shared" ref="E73" si="28">SUM(E49:E72)</f>
        <v>0</v>
      </c>
      <c r="F73" s="349">
        <f t="shared" ref="F73" si="29">SUM(F49:F72)</f>
        <v>0</v>
      </c>
      <c r="G73" s="353">
        <f t="shared" si="14"/>
        <v>0</v>
      </c>
      <c r="H73" s="354">
        <f t="shared" si="15"/>
        <v>0</v>
      </c>
      <c r="I73" s="348">
        <f>SUM(I49:I72)</f>
        <v>0</v>
      </c>
      <c r="J73" s="349">
        <f t="shared" ref="J73" si="30">SUM(J49:J72)</f>
        <v>0</v>
      </c>
      <c r="K73" s="349">
        <f t="shared" ref="K73" si="31">SUM(K49:K72)</f>
        <v>0</v>
      </c>
      <c r="L73" s="349">
        <f t="shared" ref="L73" si="32">SUM(L49:L72)</f>
        <v>0</v>
      </c>
      <c r="M73" s="349">
        <f t="shared" ref="M73" si="33">SUM(M49:M72)</f>
        <v>0</v>
      </c>
      <c r="N73" s="353">
        <f t="shared" si="16"/>
        <v>0</v>
      </c>
      <c r="O73" s="354">
        <f t="shared" si="17"/>
        <v>0</v>
      </c>
      <c r="P73" s="348">
        <f>SUM(P49:P72)</f>
        <v>0</v>
      </c>
      <c r="Q73" s="349">
        <f t="shared" ref="Q73" si="34">SUM(Q49:Q72)</f>
        <v>0</v>
      </c>
      <c r="R73" s="349">
        <f t="shared" ref="R73" si="35">SUM(R49:R72)</f>
        <v>0</v>
      </c>
      <c r="S73" s="349">
        <f t="shared" ref="S73" si="36">SUM(S49:S72)</f>
        <v>0</v>
      </c>
      <c r="T73" s="349">
        <f t="shared" ref="T73" si="37">SUM(T49:T72)</f>
        <v>0</v>
      </c>
      <c r="U73" s="353">
        <f t="shared" si="18"/>
        <v>0</v>
      </c>
      <c r="V73" s="354">
        <f t="shared" si="19"/>
        <v>0</v>
      </c>
    </row>
    <row r="74" spans="1:22">
      <c r="B74" s="22" t="s">
        <v>405</v>
      </c>
      <c r="I74" s="22" t="s">
        <v>405</v>
      </c>
      <c r="P74" s="22" t="s">
        <v>405</v>
      </c>
    </row>
    <row r="75" spans="1:22" ht="20.100000000000001" customHeight="1">
      <c r="A75" s="312" t="s">
        <v>413</v>
      </c>
      <c r="B75" s="243" t="s">
        <v>416</v>
      </c>
      <c r="C75" s="243"/>
      <c r="D75" s="243"/>
      <c r="E75" s="243"/>
      <c r="F75" s="243"/>
      <c r="G75" s="243"/>
      <c r="H75" s="243"/>
      <c r="I75" s="243" t="s">
        <v>416</v>
      </c>
      <c r="J75" s="243"/>
      <c r="K75" s="243"/>
      <c r="L75" s="243"/>
      <c r="M75" s="243"/>
      <c r="N75" s="243"/>
      <c r="O75" s="243"/>
      <c r="P75" s="243" t="s">
        <v>416</v>
      </c>
      <c r="Q75" s="243"/>
      <c r="R75" s="243"/>
      <c r="S75" s="243"/>
      <c r="T75" s="243"/>
      <c r="U75" s="243"/>
      <c r="V75" s="243"/>
    </row>
    <row r="76" spans="1:22" ht="13.5" thickBot="1"/>
    <row r="77" spans="1:22" ht="18" customHeight="1" thickBot="1">
      <c r="A77" s="226" t="s">
        <v>330</v>
      </c>
      <c r="B77" s="234" t="s">
        <v>39</v>
      </c>
      <c r="C77" s="235"/>
      <c r="D77" s="235"/>
      <c r="E77" s="235"/>
      <c r="F77" s="235"/>
      <c r="G77" s="235"/>
      <c r="H77" s="236"/>
      <c r="I77" s="63" t="s">
        <v>244</v>
      </c>
      <c r="J77" s="231"/>
      <c r="K77" s="231"/>
      <c r="L77" s="231"/>
      <c r="M77" s="231"/>
      <c r="N77" s="231"/>
      <c r="O77" s="232"/>
      <c r="P77" s="234" t="s">
        <v>246</v>
      </c>
      <c r="Q77" s="235"/>
      <c r="R77" s="235"/>
      <c r="S77" s="235"/>
      <c r="T77" s="235"/>
      <c r="U77" s="235"/>
      <c r="V77" s="236"/>
    </row>
    <row r="78" spans="1:22" ht="13.5" thickBot="1">
      <c r="A78" s="30"/>
      <c r="B78" s="37" t="s">
        <v>3</v>
      </c>
      <c r="C78" s="37" t="s">
        <v>3</v>
      </c>
      <c r="D78" s="37"/>
      <c r="E78" s="37"/>
      <c r="F78" s="37" t="s">
        <v>4</v>
      </c>
      <c r="G78" s="37" t="s">
        <v>8</v>
      </c>
      <c r="H78" s="37" t="s">
        <v>8</v>
      </c>
      <c r="I78" s="37" t="s">
        <v>3</v>
      </c>
      <c r="J78" s="37" t="s">
        <v>3</v>
      </c>
      <c r="K78" s="37"/>
      <c r="L78" s="37"/>
      <c r="M78" s="37" t="s">
        <v>4</v>
      </c>
      <c r="N78" s="37" t="s">
        <v>8</v>
      </c>
      <c r="O78" s="37" t="s">
        <v>8</v>
      </c>
      <c r="P78" s="37" t="s">
        <v>3</v>
      </c>
      <c r="Q78" s="37" t="s">
        <v>3</v>
      </c>
      <c r="R78" s="37"/>
      <c r="S78" s="37"/>
      <c r="T78" s="37" t="s">
        <v>4</v>
      </c>
      <c r="U78" s="37" t="s">
        <v>8</v>
      </c>
      <c r="V78" s="37" t="s">
        <v>8</v>
      </c>
    </row>
    <row r="79" spans="1:22" ht="51">
      <c r="A79" s="75" t="s">
        <v>43</v>
      </c>
      <c r="B79" s="350" t="s">
        <v>35</v>
      </c>
      <c r="C79" s="351" t="s">
        <v>33</v>
      </c>
      <c r="D79" s="351" t="s">
        <v>407</v>
      </c>
      <c r="E79" s="351" t="s">
        <v>408</v>
      </c>
      <c r="F79" s="351" t="s">
        <v>30</v>
      </c>
      <c r="G79" s="351" t="s">
        <v>36</v>
      </c>
      <c r="H79" s="352" t="s">
        <v>34</v>
      </c>
      <c r="I79" s="344" t="s">
        <v>35</v>
      </c>
      <c r="J79" s="345" t="s">
        <v>33</v>
      </c>
      <c r="K79" s="345" t="s">
        <v>407</v>
      </c>
      <c r="L79" s="345" t="s">
        <v>408</v>
      </c>
      <c r="M79" s="345" t="s">
        <v>30</v>
      </c>
      <c r="N79" s="345" t="s">
        <v>36</v>
      </c>
      <c r="O79" s="346" t="s">
        <v>34</v>
      </c>
      <c r="P79" s="350" t="s">
        <v>35</v>
      </c>
      <c r="Q79" s="351" t="s">
        <v>33</v>
      </c>
      <c r="R79" s="351" t="s">
        <v>407</v>
      </c>
      <c r="S79" s="351" t="s">
        <v>408</v>
      </c>
      <c r="T79" s="351" t="s">
        <v>30</v>
      </c>
      <c r="U79" s="351" t="s">
        <v>36</v>
      </c>
      <c r="V79" s="352" t="s">
        <v>34</v>
      </c>
    </row>
    <row r="80" spans="1:22" ht="18" customHeight="1">
      <c r="A80" s="76" t="str">
        <f>IF($C$9="Data Not Entered On Set-Up Worksheet","",IF(OR(VLOOKUP($C$9,County_Lookup,2,FALSE)="",VLOOKUP($C$9,County_Lookup,2,FALSE)=0),"",VLOOKUP($C$9,County_Lookup,2,FALSE)))</f>
        <v/>
      </c>
      <c r="B80" s="52"/>
      <c r="C80" s="42"/>
      <c r="D80" s="42"/>
      <c r="E80" s="42"/>
      <c r="F80" s="42"/>
      <c r="G80" s="43" t="str">
        <f>IF($A80="","",IF($F80=0,0,B80/$F80))</f>
        <v/>
      </c>
      <c r="H80" s="347" t="str">
        <f>IF($A80="","",IF($F80=0,0,C80/$F80))</f>
        <v/>
      </c>
      <c r="I80" s="52"/>
      <c r="J80" s="42"/>
      <c r="K80" s="42"/>
      <c r="L80" s="42"/>
      <c r="M80" s="42"/>
      <c r="N80" s="43" t="str">
        <f>IF($A80="","",IF($M80=0,0,I80/$M80))</f>
        <v/>
      </c>
      <c r="O80" s="347" t="str">
        <f>IF($A80="","",IF($M80=0,0,J80/$M80))</f>
        <v/>
      </c>
      <c r="P80" s="52"/>
      <c r="Q80" s="42"/>
      <c r="R80" s="42"/>
      <c r="S80" s="42"/>
      <c r="T80" s="42"/>
      <c r="U80" s="43" t="str">
        <f>IF($A80="","",IF($T80=0,0,P80/$T80))</f>
        <v/>
      </c>
      <c r="V80" s="347" t="str">
        <f>IF($A80="","",IF($T80=0,0,Q80/$T80))</f>
        <v/>
      </c>
    </row>
    <row r="81" spans="1:22" ht="18" customHeight="1">
      <c r="A81" s="77" t="str">
        <f>IF($C$9="Data Not Entered On Set-Up Worksheet","",IF(OR(VLOOKUP($C$9,County_Lookup,3,FALSE)="",VLOOKUP($C$9,County_Lookup,3,FALSE)=0),"",VLOOKUP($C$9,County_Lookup,3,FALSE)))</f>
        <v/>
      </c>
      <c r="B81" s="52"/>
      <c r="C81" s="42"/>
      <c r="D81" s="42"/>
      <c r="E81" s="42"/>
      <c r="F81" s="42"/>
      <c r="G81" s="43" t="str">
        <f t="shared" ref="G81:G104" si="38">IF($A81="","",IF($F81=0,0,B81/$F81))</f>
        <v/>
      </c>
      <c r="H81" s="347" t="str">
        <f t="shared" ref="H81:H104" si="39">IF($A81="","",IF($F81=0,0,C81/$F81))</f>
        <v/>
      </c>
      <c r="I81" s="52"/>
      <c r="J81" s="42"/>
      <c r="K81" s="42"/>
      <c r="L81" s="42"/>
      <c r="M81" s="42"/>
      <c r="N81" s="43" t="str">
        <f t="shared" ref="N81:N104" si="40">IF($A81="","",IF($M81=0,0,I81/$M81))</f>
        <v/>
      </c>
      <c r="O81" s="347" t="str">
        <f t="shared" ref="O81:O104" si="41">IF($A81="","",IF($M81=0,0,J81/$M81))</f>
        <v/>
      </c>
      <c r="P81" s="52"/>
      <c r="Q81" s="42"/>
      <c r="R81" s="42"/>
      <c r="S81" s="42"/>
      <c r="T81" s="42"/>
      <c r="U81" s="43" t="str">
        <f t="shared" ref="U81:U104" si="42">IF($A81="","",IF($T81=0,0,P81/$T81))</f>
        <v/>
      </c>
      <c r="V81" s="347" t="str">
        <f t="shared" ref="V81:V104" si="43">IF($A81="","",IF($T81=0,0,Q81/$T81))</f>
        <v/>
      </c>
    </row>
    <row r="82" spans="1:22" ht="18" customHeight="1">
      <c r="A82" s="77" t="str">
        <f>IF($C$9="Data Not Entered On Set-Up Worksheet","",IF(OR(VLOOKUP($C$9,County_Lookup,4,FALSE)="",VLOOKUP($C$9,County_Lookup,4,FALSE)=0),"",VLOOKUP($C$9,County_Lookup,4,FALSE)))</f>
        <v/>
      </c>
      <c r="B82" s="52"/>
      <c r="C82" s="42"/>
      <c r="D82" s="42"/>
      <c r="E82" s="42"/>
      <c r="F82" s="42"/>
      <c r="G82" s="43" t="str">
        <f t="shared" si="38"/>
        <v/>
      </c>
      <c r="H82" s="347" t="str">
        <f t="shared" si="39"/>
        <v/>
      </c>
      <c r="I82" s="52"/>
      <c r="J82" s="42"/>
      <c r="K82" s="42"/>
      <c r="L82" s="42"/>
      <c r="M82" s="42"/>
      <c r="N82" s="43" t="str">
        <f t="shared" si="40"/>
        <v/>
      </c>
      <c r="O82" s="347" t="str">
        <f t="shared" si="41"/>
        <v/>
      </c>
      <c r="P82" s="52"/>
      <c r="Q82" s="42"/>
      <c r="R82" s="42"/>
      <c r="S82" s="42"/>
      <c r="T82" s="42"/>
      <c r="U82" s="43" t="str">
        <f t="shared" si="42"/>
        <v/>
      </c>
      <c r="V82" s="347" t="str">
        <f t="shared" si="43"/>
        <v/>
      </c>
    </row>
    <row r="83" spans="1:22" ht="18" customHeight="1">
      <c r="A83" s="77" t="str">
        <f>IF($C$9="Data Not Entered On Set-Up Worksheet","",IF(OR(VLOOKUP($C$9,County_Lookup,5,FALSE)="",VLOOKUP($C$9,County_Lookup,5,FALSE)=0),"",VLOOKUP($C$9,County_Lookup,5,FALSE)))</f>
        <v/>
      </c>
      <c r="B83" s="52"/>
      <c r="C83" s="42"/>
      <c r="D83" s="42"/>
      <c r="E83" s="42"/>
      <c r="F83" s="42"/>
      <c r="G83" s="43" t="str">
        <f t="shared" si="38"/>
        <v/>
      </c>
      <c r="H83" s="347" t="str">
        <f t="shared" si="39"/>
        <v/>
      </c>
      <c r="I83" s="52"/>
      <c r="J83" s="42"/>
      <c r="K83" s="42"/>
      <c r="L83" s="42"/>
      <c r="M83" s="42"/>
      <c r="N83" s="43" t="str">
        <f t="shared" si="40"/>
        <v/>
      </c>
      <c r="O83" s="347" t="str">
        <f t="shared" si="41"/>
        <v/>
      </c>
      <c r="P83" s="52"/>
      <c r="Q83" s="42"/>
      <c r="R83" s="42"/>
      <c r="S83" s="42"/>
      <c r="T83" s="42"/>
      <c r="U83" s="43" t="str">
        <f t="shared" si="42"/>
        <v/>
      </c>
      <c r="V83" s="347" t="str">
        <f t="shared" si="43"/>
        <v/>
      </c>
    </row>
    <row r="84" spans="1:22" ht="18" customHeight="1">
      <c r="A84" s="77" t="str">
        <f>IF($C$9="Data Not Entered On Set-Up Worksheet","",IF(OR(VLOOKUP($C$9,County_Lookup,6,FALSE)="",VLOOKUP($C$9,County_Lookup,6,FALSE)=0),"",VLOOKUP($C$9,County_Lookup,6,FALSE)))</f>
        <v/>
      </c>
      <c r="B84" s="52"/>
      <c r="C84" s="42"/>
      <c r="D84" s="42"/>
      <c r="E84" s="42"/>
      <c r="F84" s="42"/>
      <c r="G84" s="43" t="str">
        <f t="shared" si="38"/>
        <v/>
      </c>
      <c r="H84" s="347" t="str">
        <f t="shared" si="39"/>
        <v/>
      </c>
      <c r="I84" s="52"/>
      <c r="J84" s="42"/>
      <c r="K84" s="42"/>
      <c r="L84" s="42"/>
      <c r="M84" s="42"/>
      <c r="N84" s="43" t="str">
        <f t="shared" si="40"/>
        <v/>
      </c>
      <c r="O84" s="347" t="str">
        <f t="shared" si="41"/>
        <v/>
      </c>
      <c r="P84" s="52"/>
      <c r="Q84" s="42"/>
      <c r="R84" s="42"/>
      <c r="S84" s="42"/>
      <c r="T84" s="42"/>
      <c r="U84" s="43" t="str">
        <f t="shared" si="42"/>
        <v/>
      </c>
      <c r="V84" s="347" t="str">
        <f t="shared" si="43"/>
        <v/>
      </c>
    </row>
    <row r="85" spans="1:22" ht="18" customHeight="1">
      <c r="A85" s="77" t="str">
        <f>IF($C$9="Data Not Entered On Set-Up Worksheet","",IF(OR(VLOOKUP($C$9,County_Lookup,7,FALSE)="",VLOOKUP($C$9,County_Lookup,7,FALSE)=0),"",VLOOKUP($C$9,County_Lookup,7,FALSE)))</f>
        <v/>
      </c>
      <c r="B85" s="52"/>
      <c r="C85" s="42"/>
      <c r="D85" s="42"/>
      <c r="E85" s="42"/>
      <c r="F85" s="42"/>
      <c r="G85" s="43" t="str">
        <f t="shared" si="38"/>
        <v/>
      </c>
      <c r="H85" s="347" t="str">
        <f t="shared" si="39"/>
        <v/>
      </c>
      <c r="I85" s="52"/>
      <c r="J85" s="42"/>
      <c r="K85" s="42"/>
      <c r="L85" s="42"/>
      <c r="M85" s="42"/>
      <c r="N85" s="43" t="str">
        <f t="shared" si="40"/>
        <v/>
      </c>
      <c r="O85" s="347" t="str">
        <f t="shared" si="41"/>
        <v/>
      </c>
      <c r="P85" s="52"/>
      <c r="Q85" s="42"/>
      <c r="R85" s="42"/>
      <c r="S85" s="42"/>
      <c r="T85" s="42"/>
      <c r="U85" s="43" t="str">
        <f t="shared" si="42"/>
        <v/>
      </c>
      <c r="V85" s="347" t="str">
        <f t="shared" si="43"/>
        <v/>
      </c>
    </row>
    <row r="86" spans="1:22" ht="18" customHeight="1">
      <c r="A86" s="76" t="str">
        <f>IF($C$9="Data Not Entered On Set-Up Worksheet","",IF(OR(VLOOKUP($C$9,County_Lookup,8,FALSE)="",VLOOKUP($C$9,County_Lookup,8,FALSE)=0),"",VLOOKUP($C$9,County_Lookup,8,FALSE)))</f>
        <v/>
      </c>
      <c r="B86" s="52"/>
      <c r="C86" s="42"/>
      <c r="D86" s="42"/>
      <c r="E86" s="42"/>
      <c r="F86" s="42"/>
      <c r="G86" s="43" t="str">
        <f t="shared" si="38"/>
        <v/>
      </c>
      <c r="H86" s="347" t="str">
        <f t="shared" si="39"/>
        <v/>
      </c>
      <c r="I86" s="52"/>
      <c r="J86" s="42"/>
      <c r="K86" s="42"/>
      <c r="L86" s="42"/>
      <c r="M86" s="42"/>
      <c r="N86" s="43" t="str">
        <f t="shared" si="40"/>
        <v/>
      </c>
      <c r="O86" s="347" t="str">
        <f t="shared" si="41"/>
        <v/>
      </c>
      <c r="P86" s="52"/>
      <c r="Q86" s="42"/>
      <c r="R86" s="42"/>
      <c r="S86" s="42"/>
      <c r="T86" s="42"/>
      <c r="U86" s="43" t="str">
        <f t="shared" si="42"/>
        <v/>
      </c>
      <c r="V86" s="347" t="str">
        <f t="shared" si="43"/>
        <v/>
      </c>
    </row>
    <row r="87" spans="1:22" ht="18" customHeight="1">
      <c r="A87" s="77" t="str">
        <f>IF($C$9="Data Not Entered On Set-Up Worksheet","",IF(OR(VLOOKUP($C$9,County_Lookup,9,FALSE)="",VLOOKUP($C$9,County_Lookup,9,FALSE)=0),"",VLOOKUP($C$9,County_Lookup,9,FALSE)))</f>
        <v/>
      </c>
      <c r="B87" s="52"/>
      <c r="C87" s="42"/>
      <c r="D87" s="42"/>
      <c r="E87" s="42"/>
      <c r="F87" s="42"/>
      <c r="G87" s="43" t="str">
        <f t="shared" si="38"/>
        <v/>
      </c>
      <c r="H87" s="347" t="str">
        <f t="shared" si="39"/>
        <v/>
      </c>
      <c r="I87" s="52"/>
      <c r="J87" s="42"/>
      <c r="K87" s="42"/>
      <c r="L87" s="42"/>
      <c r="M87" s="42"/>
      <c r="N87" s="43" t="str">
        <f t="shared" si="40"/>
        <v/>
      </c>
      <c r="O87" s="347" t="str">
        <f t="shared" si="41"/>
        <v/>
      </c>
      <c r="P87" s="52"/>
      <c r="Q87" s="42"/>
      <c r="R87" s="42"/>
      <c r="S87" s="42"/>
      <c r="T87" s="42"/>
      <c r="U87" s="43" t="str">
        <f t="shared" si="42"/>
        <v/>
      </c>
      <c r="V87" s="347" t="str">
        <f t="shared" si="43"/>
        <v/>
      </c>
    </row>
    <row r="88" spans="1:22" ht="18" customHeight="1">
      <c r="A88" s="77" t="str">
        <f>IF($C$9="Data Not Entered On Set-Up Worksheet","",IF(OR(VLOOKUP($C$9,County_Lookup,10,FALSE)="",VLOOKUP($C$9,County_Lookup,10,FALSE)=0),"",VLOOKUP($C$9,County_Lookup,10,FALSE)))</f>
        <v/>
      </c>
      <c r="B88" s="52"/>
      <c r="C88" s="42"/>
      <c r="D88" s="42"/>
      <c r="E88" s="42"/>
      <c r="F88" s="42"/>
      <c r="G88" s="43" t="str">
        <f t="shared" si="38"/>
        <v/>
      </c>
      <c r="H88" s="347" t="str">
        <f t="shared" si="39"/>
        <v/>
      </c>
      <c r="I88" s="52"/>
      <c r="J88" s="42"/>
      <c r="K88" s="42"/>
      <c r="L88" s="42"/>
      <c r="M88" s="42"/>
      <c r="N88" s="43" t="str">
        <f t="shared" si="40"/>
        <v/>
      </c>
      <c r="O88" s="347" t="str">
        <f t="shared" si="41"/>
        <v/>
      </c>
      <c r="P88" s="52"/>
      <c r="Q88" s="42"/>
      <c r="R88" s="42"/>
      <c r="S88" s="42"/>
      <c r="T88" s="42"/>
      <c r="U88" s="43" t="str">
        <f t="shared" si="42"/>
        <v/>
      </c>
      <c r="V88" s="347" t="str">
        <f t="shared" si="43"/>
        <v/>
      </c>
    </row>
    <row r="89" spans="1:22" ht="18" customHeight="1">
      <c r="A89" s="77" t="str">
        <f>IF($C$9="Data Not Entered On Set-Up Worksheet","",IF(OR(VLOOKUP($C$9,County_Lookup,11,FALSE)="",VLOOKUP($C$9,County_Lookup,11,FALSE)=0),"",VLOOKUP($C$9,County_Lookup,11,FALSE)))</f>
        <v/>
      </c>
      <c r="B89" s="52"/>
      <c r="C89" s="42"/>
      <c r="D89" s="42"/>
      <c r="E89" s="42"/>
      <c r="F89" s="42"/>
      <c r="G89" s="43" t="str">
        <f t="shared" si="38"/>
        <v/>
      </c>
      <c r="H89" s="347" t="str">
        <f t="shared" si="39"/>
        <v/>
      </c>
      <c r="I89" s="52"/>
      <c r="J89" s="42"/>
      <c r="K89" s="42"/>
      <c r="L89" s="42"/>
      <c r="M89" s="42"/>
      <c r="N89" s="43" t="str">
        <f t="shared" si="40"/>
        <v/>
      </c>
      <c r="O89" s="347" t="str">
        <f t="shared" si="41"/>
        <v/>
      </c>
      <c r="P89" s="52"/>
      <c r="Q89" s="42"/>
      <c r="R89" s="42"/>
      <c r="S89" s="42"/>
      <c r="T89" s="42"/>
      <c r="U89" s="43" t="str">
        <f t="shared" si="42"/>
        <v/>
      </c>
      <c r="V89" s="347" t="str">
        <f t="shared" si="43"/>
        <v/>
      </c>
    </row>
    <row r="90" spans="1:22" ht="18" customHeight="1">
      <c r="A90" s="77" t="str">
        <f>IF($C$9="Data Not Entered On Set-Up Worksheet","",IF(OR(VLOOKUP($C$9,County_Lookup,12,FALSE)="",VLOOKUP($C$9,County_Lookup,12,FALSE)=0),"",VLOOKUP($C$9,County_Lookup,12,FALSE)))</f>
        <v/>
      </c>
      <c r="B90" s="52"/>
      <c r="C90" s="42"/>
      <c r="D90" s="42"/>
      <c r="E90" s="42"/>
      <c r="F90" s="42"/>
      <c r="G90" s="43" t="str">
        <f t="shared" si="38"/>
        <v/>
      </c>
      <c r="H90" s="347" t="str">
        <f t="shared" si="39"/>
        <v/>
      </c>
      <c r="I90" s="52"/>
      <c r="J90" s="42"/>
      <c r="K90" s="42"/>
      <c r="L90" s="42"/>
      <c r="M90" s="42"/>
      <c r="N90" s="43" t="str">
        <f t="shared" si="40"/>
        <v/>
      </c>
      <c r="O90" s="347" t="str">
        <f t="shared" si="41"/>
        <v/>
      </c>
      <c r="P90" s="52"/>
      <c r="Q90" s="42"/>
      <c r="R90" s="42"/>
      <c r="S90" s="42"/>
      <c r="T90" s="42"/>
      <c r="U90" s="43" t="str">
        <f t="shared" si="42"/>
        <v/>
      </c>
      <c r="V90" s="347" t="str">
        <f t="shared" si="43"/>
        <v/>
      </c>
    </row>
    <row r="91" spans="1:22" ht="18" customHeight="1">
      <c r="A91" s="77" t="str">
        <f>IF($C$9="Data Not Entered On Set-Up Worksheet","",IF(OR(VLOOKUP($C$9,County_Lookup,13,FALSE)="",VLOOKUP($C$9,County_Lookup,13,FALSE)=0),"",VLOOKUP($C$9,County_Lookup,13,FALSE)))</f>
        <v/>
      </c>
      <c r="B91" s="52"/>
      <c r="C91" s="42"/>
      <c r="D91" s="42"/>
      <c r="E91" s="42"/>
      <c r="F91" s="42"/>
      <c r="G91" s="43" t="str">
        <f t="shared" si="38"/>
        <v/>
      </c>
      <c r="H91" s="347" t="str">
        <f t="shared" si="39"/>
        <v/>
      </c>
      <c r="I91" s="52"/>
      <c r="J91" s="42"/>
      <c r="K91" s="42"/>
      <c r="L91" s="42"/>
      <c r="M91" s="42"/>
      <c r="N91" s="43" t="str">
        <f t="shared" si="40"/>
        <v/>
      </c>
      <c r="O91" s="347" t="str">
        <f t="shared" si="41"/>
        <v/>
      </c>
      <c r="P91" s="52"/>
      <c r="Q91" s="42"/>
      <c r="R91" s="42"/>
      <c r="S91" s="42"/>
      <c r="T91" s="42"/>
      <c r="U91" s="43" t="str">
        <f t="shared" si="42"/>
        <v/>
      </c>
      <c r="V91" s="347" t="str">
        <f t="shared" si="43"/>
        <v/>
      </c>
    </row>
    <row r="92" spans="1:22" ht="18" customHeight="1">
      <c r="A92" s="77" t="str">
        <f>IF($C$9="Data Not Entered On Set-Up Worksheet","",IF(OR(VLOOKUP($C$9,County_Lookup,14,FALSE)="",VLOOKUP($C$9,County_Lookup,14,FALSE)=0),"",VLOOKUP($C$9,County_Lookup,14,FALSE)))</f>
        <v/>
      </c>
      <c r="B92" s="52"/>
      <c r="C92" s="42"/>
      <c r="D92" s="42"/>
      <c r="E92" s="42"/>
      <c r="F92" s="42"/>
      <c r="G92" s="43" t="str">
        <f t="shared" si="38"/>
        <v/>
      </c>
      <c r="H92" s="347" t="str">
        <f t="shared" si="39"/>
        <v/>
      </c>
      <c r="I92" s="52"/>
      <c r="J92" s="42"/>
      <c r="K92" s="42"/>
      <c r="L92" s="42"/>
      <c r="M92" s="42"/>
      <c r="N92" s="43" t="str">
        <f t="shared" si="40"/>
        <v/>
      </c>
      <c r="O92" s="347" t="str">
        <f t="shared" si="41"/>
        <v/>
      </c>
      <c r="P92" s="52"/>
      <c r="Q92" s="42"/>
      <c r="R92" s="42"/>
      <c r="S92" s="42"/>
      <c r="T92" s="42"/>
      <c r="U92" s="43" t="str">
        <f t="shared" si="42"/>
        <v/>
      </c>
      <c r="V92" s="347" t="str">
        <f t="shared" si="43"/>
        <v/>
      </c>
    </row>
    <row r="93" spans="1:22" ht="18" customHeight="1">
      <c r="A93" s="76" t="str">
        <f>IF($C$9="Data Not Entered On Set-Up Worksheet","",IF(OR(VLOOKUP($C$9,County_Lookup,15,FALSE)="",VLOOKUP($C$9,County_Lookup,15,FALSE)=0),"",VLOOKUP($C$9,County_Lookup,15,FALSE)))</f>
        <v/>
      </c>
      <c r="B93" s="52"/>
      <c r="C93" s="42"/>
      <c r="D93" s="42"/>
      <c r="E93" s="42"/>
      <c r="F93" s="42"/>
      <c r="G93" s="43" t="str">
        <f t="shared" si="38"/>
        <v/>
      </c>
      <c r="H93" s="347" t="str">
        <f t="shared" si="39"/>
        <v/>
      </c>
      <c r="I93" s="52"/>
      <c r="J93" s="42"/>
      <c r="K93" s="42"/>
      <c r="L93" s="42"/>
      <c r="M93" s="42"/>
      <c r="N93" s="43" t="str">
        <f t="shared" si="40"/>
        <v/>
      </c>
      <c r="O93" s="347" t="str">
        <f t="shared" si="41"/>
        <v/>
      </c>
      <c r="P93" s="52"/>
      <c r="Q93" s="42"/>
      <c r="R93" s="42"/>
      <c r="S93" s="42"/>
      <c r="T93" s="42"/>
      <c r="U93" s="43" t="str">
        <f t="shared" si="42"/>
        <v/>
      </c>
      <c r="V93" s="347" t="str">
        <f t="shared" si="43"/>
        <v/>
      </c>
    </row>
    <row r="94" spans="1:22" ht="18" customHeight="1">
      <c r="A94" s="77" t="str">
        <f>IF($C$9="Data Not Entered On Set-Up Worksheet","",IF(OR(VLOOKUP($C$9,County_Lookup,16,FALSE)="",VLOOKUP($C$9,County_Lookup,16,FALSE)=0),"",VLOOKUP($C$9,County_Lookup,16,FALSE)))</f>
        <v/>
      </c>
      <c r="B94" s="52"/>
      <c r="C94" s="42"/>
      <c r="D94" s="42"/>
      <c r="E94" s="42"/>
      <c r="F94" s="42"/>
      <c r="G94" s="43" t="str">
        <f t="shared" si="38"/>
        <v/>
      </c>
      <c r="H94" s="347" t="str">
        <f t="shared" si="39"/>
        <v/>
      </c>
      <c r="I94" s="52"/>
      <c r="J94" s="42"/>
      <c r="K94" s="42"/>
      <c r="L94" s="42"/>
      <c r="M94" s="42"/>
      <c r="N94" s="43" t="str">
        <f t="shared" si="40"/>
        <v/>
      </c>
      <c r="O94" s="347" t="str">
        <f t="shared" si="41"/>
        <v/>
      </c>
      <c r="P94" s="52"/>
      <c r="Q94" s="42"/>
      <c r="R94" s="42"/>
      <c r="S94" s="42"/>
      <c r="T94" s="42"/>
      <c r="U94" s="43" t="str">
        <f t="shared" si="42"/>
        <v/>
      </c>
      <c r="V94" s="347" t="str">
        <f t="shared" si="43"/>
        <v/>
      </c>
    </row>
    <row r="95" spans="1:22" ht="18" customHeight="1">
      <c r="A95" s="77" t="str">
        <f>IF($C$9="Data Not Entered On Set-Up Worksheet","",IF(OR(VLOOKUP($C$9,County_Lookup,17,FALSE)="",VLOOKUP($C$9,County_Lookup,17,FALSE)=0),"",VLOOKUP($C$9,County_Lookup,17,FALSE)))</f>
        <v/>
      </c>
      <c r="B95" s="52"/>
      <c r="C95" s="42"/>
      <c r="D95" s="42"/>
      <c r="E95" s="42"/>
      <c r="F95" s="42"/>
      <c r="G95" s="43" t="str">
        <f t="shared" si="38"/>
        <v/>
      </c>
      <c r="H95" s="347" t="str">
        <f t="shared" si="39"/>
        <v/>
      </c>
      <c r="I95" s="52"/>
      <c r="J95" s="42"/>
      <c r="K95" s="42"/>
      <c r="L95" s="42"/>
      <c r="M95" s="42"/>
      <c r="N95" s="43" t="str">
        <f t="shared" si="40"/>
        <v/>
      </c>
      <c r="O95" s="347" t="str">
        <f t="shared" si="41"/>
        <v/>
      </c>
      <c r="P95" s="52"/>
      <c r="Q95" s="42"/>
      <c r="R95" s="42"/>
      <c r="S95" s="42"/>
      <c r="T95" s="42"/>
      <c r="U95" s="43" t="str">
        <f t="shared" si="42"/>
        <v/>
      </c>
      <c r="V95" s="347" t="str">
        <f t="shared" si="43"/>
        <v/>
      </c>
    </row>
    <row r="96" spans="1:22" ht="18" customHeight="1">
      <c r="A96" s="77" t="str">
        <f>IF($C$9="Data Not Entered On Set-Up Worksheet","",IF(OR(VLOOKUP($C$9,County_Lookup,18,FALSE)="",VLOOKUP($C$9,County_Lookup,18,FALSE)=0),"",VLOOKUP($C$9,County_Lookup,18,FALSE)))</f>
        <v/>
      </c>
      <c r="B96" s="52"/>
      <c r="C96" s="42"/>
      <c r="D96" s="42"/>
      <c r="E96" s="42"/>
      <c r="F96" s="42"/>
      <c r="G96" s="43" t="str">
        <f t="shared" si="38"/>
        <v/>
      </c>
      <c r="H96" s="347" t="str">
        <f t="shared" si="39"/>
        <v/>
      </c>
      <c r="I96" s="52"/>
      <c r="J96" s="42"/>
      <c r="K96" s="42"/>
      <c r="L96" s="42"/>
      <c r="M96" s="42"/>
      <c r="N96" s="43" t="str">
        <f t="shared" si="40"/>
        <v/>
      </c>
      <c r="O96" s="347" t="str">
        <f t="shared" si="41"/>
        <v/>
      </c>
      <c r="P96" s="52"/>
      <c r="Q96" s="42"/>
      <c r="R96" s="42"/>
      <c r="S96" s="42"/>
      <c r="T96" s="42"/>
      <c r="U96" s="43" t="str">
        <f t="shared" si="42"/>
        <v/>
      </c>
      <c r="V96" s="347" t="str">
        <f t="shared" si="43"/>
        <v/>
      </c>
    </row>
    <row r="97" spans="1:22" ht="18" customHeight="1">
      <c r="A97" s="77" t="str">
        <f>IF($C$9="Data Not Entered On Set-Up Worksheet","",IF(OR(VLOOKUP($C$9,County_Lookup,19,FALSE)="",VLOOKUP($C$9,County_Lookup,19,FALSE)=0),"",VLOOKUP($C$9,County_Lookup,19,FALSE)))</f>
        <v/>
      </c>
      <c r="B97" s="52"/>
      <c r="C97" s="42"/>
      <c r="D97" s="42"/>
      <c r="E97" s="42"/>
      <c r="F97" s="42"/>
      <c r="G97" s="43" t="str">
        <f t="shared" si="38"/>
        <v/>
      </c>
      <c r="H97" s="347" t="str">
        <f t="shared" si="39"/>
        <v/>
      </c>
      <c r="I97" s="52"/>
      <c r="J97" s="42"/>
      <c r="K97" s="42"/>
      <c r="L97" s="42"/>
      <c r="M97" s="42"/>
      <c r="N97" s="43" t="str">
        <f t="shared" si="40"/>
        <v/>
      </c>
      <c r="O97" s="347" t="str">
        <f t="shared" si="41"/>
        <v/>
      </c>
      <c r="P97" s="52"/>
      <c r="Q97" s="42"/>
      <c r="R97" s="42"/>
      <c r="S97" s="42"/>
      <c r="T97" s="42"/>
      <c r="U97" s="43" t="str">
        <f t="shared" si="42"/>
        <v/>
      </c>
      <c r="V97" s="347" t="str">
        <f t="shared" si="43"/>
        <v/>
      </c>
    </row>
    <row r="98" spans="1:22" ht="18" customHeight="1">
      <c r="A98" s="77" t="str">
        <f>IF($C$9="Data Not Entered On Set-Up Worksheet","",IF(OR(VLOOKUP($C$9,County_Lookup,20,FALSE)="",VLOOKUP($C$9,County_Lookup,20,FALSE)=0),"",VLOOKUP($C$9,County_Lookup,20,FALSE)))</f>
        <v/>
      </c>
      <c r="B98" s="52"/>
      <c r="C98" s="42"/>
      <c r="D98" s="42"/>
      <c r="E98" s="42"/>
      <c r="F98" s="42"/>
      <c r="G98" s="43" t="str">
        <f t="shared" si="38"/>
        <v/>
      </c>
      <c r="H98" s="347" t="str">
        <f t="shared" si="39"/>
        <v/>
      </c>
      <c r="I98" s="52"/>
      <c r="J98" s="42"/>
      <c r="K98" s="42"/>
      <c r="L98" s="42"/>
      <c r="M98" s="42"/>
      <c r="N98" s="43" t="str">
        <f t="shared" si="40"/>
        <v/>
      </c>
      <c r="O98" s="347" t="str">
        <f t="shared" si="41"/>
        <v/>
      </c>
      <c r="P98" s="52"/>
      <c r="Q98" s="42"/>
      <c r="R98" s="42"/>
      <c r="S98" s="42"/>
      <c r="T98" s="42"/>
      <c r="U98" s="43" t="str">
        <f t="shared" si="42"/>
        <v/>
      </c>
      <c r="V98" s="347" t="str">
        <f t="shared" si="43"/>
        <v/>
      </c>
    </row>
    <row r="99" spans="1:22" ht="18" customHeight="1">
      <c r="A99" s="77" t="str">
        <f>IF($C$9="Data Not Entered On Set-Up Worksheet","",IF(OR(VLOOKUP($C$9,County_Lookup,21,FALSE)="",VLOOKUP($C$9,County_Lookup,21,FALSE)=0),"",VLOOKUP($C$9,County_Lookup,21,FALSE)))</f>
        <v/>
      </c>
      <c r="B99" s="52"/>
      <c r="C99" s="42"/>
      <c r="D99" s="42"/>
      <c r="E99" s="42"/>
      <c r="F99" s="42"/>
      <c r="G99" s="43" t="str">
        <f t="shared" si="38"/>
        <v/>
      </c>
      <c r="H99" s="347" t="str">
        <f t="shared" si="39"/>
        <v/>
      </c>
      <c r="I99" s="52"/>
      <c r="J99" s="42"/>
      <c r="K99" s="42"/>
      <c r="L99" s="42"/>
      <c r="M99" s="42"/>
      <c r="N99" s="43" t="str">
        <f t="shared" si="40"/>
        <v/>
      </c>
      <c r="O99" s="347" t="str">
        <f t="shared" si="41"/>
        <v/>
      </c>
      <c r="P99" s="52"/>
      <c r="Q99" s="42"/>
      <c r="R99" s="42"/>
      <c r="S99" s="42"/>
      <c r="T99" s="42"/>
      <c r="U99" s="43" t="str">
        <f t="shared" si="42"/>
        <v/>
      </c>
      <c r="V99" s="347" t="str">
        <f t="shared" si="43"/>
        <v/>
      </c>
    </row>
    <row r="100" spans="1:22" ht="18" customHeight="1">
      <c r="A100" s="76" t="str">
        <f>IF($C$9="Data Not Entered On Set-Up Worksheet","",IF(OR(VLOOKUP($C$9,County_Lookup,22,FALSE)="",VLOOKUP($C$9,County_Lookup,22,FALSE)=0),"",VLOOKUP($C$9,County_Lookup,22,FALSE)))</f>
        <v/>
      </c>
      <c r="B100" s="52"/>
      <c r="C100" s="42"/>
      <c r="D100" s="42"/>
      <c r="E100" s="42"/>
      <c r="F100" s="42"/>
      <c r="G100" s="43" t="str">
        <f t="shared" si="38"/>
        <v/>
      </c>
      <c r="H100" s="347" t="str">
        <f t="shared" si="39"/>
        <v/>
      </c>
      <c r="I100" s="52"/>
      <c r="J100" s="42"/>
      <c r="K100" s="42"/>
      <c r="L100" s="42"/>
      <c r="M100" s="42"/>
      <c r="N100" s="43" t="str">
        <f t="shared" si="40"/>
        <v/>
      </c>
      <c r="O100" s="347" t="str">
        <f t="shared" si="41"/>
        <v/>
      </c>
      <c r="P100" s="52"/>
      <c r="Q100" s="42"/>
      <c r="R100" s="42"/>
      <c r="S100" s="42"/>
      <c r="T100" s="42"/>
      <c r="U100" s="43" t="str">
        <f t="shared" si="42"/>
        <v/>
      </c>
      <c r="V100" s="347" t="str">
        <f t="shared" si="43"/>
        <v/>
      </c>
    </row>
    <row r="101" spans="1:22" ht="18" customHeight="1">
      <c r="A101" s="77" t="str">
        <f>IF($C$9="Data Not Entered On Set-Up Worksheet","",IF(OR(VLOOKUP($C$9,County_Lookup,23,FALSE)="",VLOOKUP($C$9,County_Lookup,23,FALSE)=0),"",VLOOKUP($C$9,County_Lookup,23,FALSE)))</f>
        <v/>
      </c>
      <c r="B101" s="52"/>
      <c r="C101" s="42"/>
      <c r="D101" s="42"/>
      <c r="E101" s="42"/>
      <c r="F101" s="42"/>
      <c r="G101" s="43" t="str">
        <f t="shared" si="38"/>
        <v/>
      </c>
      <c r="H101" s="347" t="str">
        <f t="shared" si="39"/>
        <v/>
      </c>
      <c r="I101" s="52"/>
      <c r="J101" s="42"/>
      <c r="K101" s="42"/>
      <c r="L101" s="42"/>
      <c r="M101" s="42"/>
      <c r="N101" s="43" t="str">
        <f t="shared" si="40"/>
        <v/>
      </c>
      <c r="O101" s="347" t="str">
        <f t="shared" si="41"/>
        <v/>
      </c>
      <c r="P101" s="52"/>
      <c r="Q101" s="42"/>
      <c r="R101" s="42"/>
      <c r="S101" s="42"/>
      <c r="T101" s="42"/>
      <c r="U101" s="43" t="str">
        <f t="shared" si="42"/>
        <v/>
      </c>
      <c r="V101" s="347" t="str">
        <f t="shared" si="43"/>
        <v/>
      </c>
    </row>
    <row r="102" spans="1:22" ht="18" customHeight="1">
      <c r="A102" s="77" t="str">
        <f>IF($C$9="Data Not Entered On Set-Up Worksheet","",IF(OR(VLOOKUP($C$9,County_Lookup,24,FALSE)="",VLOOKUP($C$9,County_Lookup,24,FALSE)=0),"",VLOOKUP($C$9,County_Lookup,24,FALSE)))</f>
        <v/>
      </c>
      <c r="B102" s="52"/>
      <c r="C102" s="42"/>
      <c r="D102" s="42"/>
      <c r="E102" s="42"/>
      <c r="F102" s="42"/>
      <c r="G102" s="43" t="str">
        <f t="shared" ref="G102" si="44">IF($A102="","",IF($F102=0,0,B102/$F102))</f>
        <v/>
      </c>
      <c r="H102" s="347" t="str">
        <f t="shared" ref="H102" si="45">IF($A102="","",IF($F102=0,0,C102/$F102))</f>
        <v/>
      </c>
      <c r="I102" s="52"/>
      <c r="J102" s="42"/>
      <c r="K102" s="42"/>
      <c r="L102" s="42"/>
      <c r="M102" s="42"/>
      <c r="N102" s="43" t="str">
        <f t="shared" ref="N102" si="46">IF($A102="","",IF($M102=0,0,I102/$M102))</f>
        <v/>
      </c>
      <c r="O102" s="347" t="str">
        <f t="shared" ref="O102" si="47">IF($A102="","",IF($M102=0,0,J102/$M102))</f>
        <v/>
      </c>
      <c r="P102" s="52"/>
      <c r="Q102" s="42"/>
      <c r="R102" s="42"/>
      <c r="S102" s="42"/>
      <c r="T102" s="42"/>
      <c r="U102" s="43" t="str">
        <f t="shared" ref="U102" si="48">IF($A102="","",IF($T102=0,0,P102/$T102))</f>
        <v/>
      </c>
      <c r="V102" s="347" t="str">
        <f t="shared" ref="V102" si="49">IF($A102="","",IF($T102=0,0,Q102/$T102))</f>
        <v/>
      </c>
    </row>
    <row r="103" spans="1:22" ht="18" customHeight="1">
      <c r="A103" s="77" t="str">
        <f>IF($C$9="Data Not Entered On Set-Up Worksheet","",IF(OR(VLOOKUP($C$9,County_Lookup,25,FALSE)="",VLOOKUP($C$9,County_Lookup,25,FALSE)=0),"",VLOOKUP($C$9,County_Lookup,25,FALSE)))</f>
        <v/>
      </c>
      <c r="B103" s="52"/>
      <c r="C103" s="42"/>
      <c r="D103" s="42"/>
      <c r="E103" s="42"/>
      <c r="F103" s="42"/>
      <c r="G103" s="43" t="str">
        <f t="shared" si="38"/>
        <v/>
      </c>
      <c r="H103" s="347" t="str">
        <f t="shared" si="39"/>
        <v/>
      </c>
      <c r="I103" s="52"/>
      <c r="J103" s="42"/>
      <c r="K103" s="42"/>
      <c r="L103" s="42"/>
      <c r="M103" s="42"/>
      <c r="N103" s="43" t="str">
        <f t="shared" si="40"/>
        <v/>
      </c>
      <c r="O103" s="347" t="str">
        <f t="shared" si="41"/>
        <v/>
      </c>
      <c r="P103" s="52"/>
      <c r="Q103" s="42"/>
      <c r="R103" s="42"/>
      <c r="S103" s="42"/>
      <c r="T103" s="42"/>
      <c r="U103" s="43" t="str">
        <f t="shared" si="42"/>
        <v/>
      </c>
      <c r="V103" s="347" t="str">
        <f t="shared" si="43"/>
        <v/>
      </c>
    </row>
    <row r="104" spans="1:22" ht="18" customHeight="1" thickBot="1">
      <c r="A104" s="78" t="s">
        <v>0</v>
      </c>
      <c r="B104" s="348">
        <f>SUM(B80:B103)</f>
        <v>0</v>
      </c>
      <c r="C104" s="349">
        <f t="shared" ref="C104" si="50">SUM(C80:C103)</f>
        <v>0</v>
      </c>
      <c r="D104" s="349">
        <f t="shared" ref="D104" si="51">SUM(D80:D103)</f>
        <v>0</v>
      </c>
      <c r="E104" s="349">
        <f t="shared" ref="E104" si="52">SUM(E80:E103)</f>
        <v>0</v>
      </c>
      <c r="F104" s="349">
        <f t="shared" ref="F104" si="53">SUM(F80:F103)</f>
        <v>0</v>
      </c>
      <c r="G104" s="353">
        <f t="shared" si="38"/>
        <v>0</v>
      </c>
      <c r="H104" s="354">
        <f t="shared" si="39"/>
        <v>0</v>
      </c>
      <c r="I104" s="348">
        <f>SUM(I80:I103)</f>
        <v>0</v>
      </c>
      <c r="J104" s="349">
        <f t="shared" ref="J104" si="54">SUM(J80:J103)</f>
        <v>0</v>
      </c>
      <c r="K104" s="349">
        <f t="shared" ref="K104" si="55">SUM(K80:K103)</f>
        <v>0</v>
      </c>
      <c r="L104" s="349">
        <f t="shared" ref="L104" si="56">SUM(L80:L103)</f>
        <v>0</v>
      </c>
      <c r="M104" s="349">
        <f t="shared" ref="M104" si="57">SUM(M80:M103)</f>
        <v>0</v>
      </c>
      <c r="N104" s="353">
        <f t="shared" si="40"/>
        <v>0</v>
      </c>
      <c r="O104" s="354">
        <f t="shared" si="41"/>
        <v>0</v>
      </c>
      <c r="P104" s="348">
        <f>SUM(P80:P103)</f>
        <v>0</v>
      </c>
      <c r="Q104" s="349">
        <f t="shared" ref="Q104" si="58">SUM(Q80:Q103)</f>
        <v>0</v>
      </c>
      <c r="R104" s="349">
        <f t="shared" ref="R104" si="59">SUM(R80:R103)</f>
        <v>0</v>
      </c>
      <c r="S104" s="349">
        <f t="shared" ref="S104" si="60">SUM(S80:S103)</f>
        <v>0</v>
      </c>
      <c r="T104" s="349">
        <f t="shared" ref="T104" si="61">SUM(T80:T103)</f>
        <v>0</v>
      </c>
      <c r="U104" s="353">
        <f t="shared" si="42"/>
        <v>0</v>
      </c>
      <c r="V104" s="354">
        <f t="shared" si="43"/>
        <v>0</v>
      </c>
    </row>
    <row r="105" spans="1:22">
      <c r="B105" s="22" t="s">
        <v>405</v>
      </c>
      <c r="I105" s="22" t="s">
        <v>405</v>
      </c>
      <c r="P105" s="22" t="s">
        <v>405</v>
      </c>
    </row>
    <row r="107" spans="1:22">
      <c r="B107" s="60" t="s">
        <v>474</v>
      </c>
      <c r="I107" s="60" t="s">
        <v>475</v>
      </c>
      <c r="P107" s="60" t="s">
        <v>476</v>
      </c>
    </row>
  </sheetData>
  <sheetProtection sheet="1" objects="1" scenarios="1"/>
  <conditionalFormatting sqref="C3:C4">
    <cfRule type="expression" dxfId="85" priority="19">
      <formula>C3="Data Not Entered On Set-Up Worksheet"</formula>
    </cfRule>
  </conditionalFormatting>
  <conditionalFormatting sqref="C9">
    <cfRule type="expression" dxfId="84" priority="18">
      <formula>C9="Data Not Entered On Set-Up Worksheet"</formula>
    </cfRule>
  </conditionalFormatting>
  <conditionalFormatting sqref="B12">
    <cfRule type="expression" dxfId="83" priority="17">
      <formula>B12="Data Not Entered On Set-Up Worksheet"</formula>
    </cfRule>
  </conditionalFormatting>
  <conditionalFormatting sqref="C11">
    <cfRule type="expression" dxfId="82" priority="16">
      <formula>C11="Data Not Entered On Set-Up Worksheet"</formula>
    </cfRule>
  </conditionalFormatting>
  <conditionalFormatting sqref="E11">
    <cfRule type="expression" dxfId="81" priority="14">
      <formula>E11="Data Not Entered On Set-Up Worksheet"</formula>
    </cfRule>
  </conditionalFormatting>
  <conditionalFormatting sqref="B18:F41 I18:M41 P18:T41">
    <cfRule type="expression" dxfId="80" priority="82">
      <formula>AND($A18&lt;&gt;"",B18="")</formula>
    </cfRule>
  </conditionalFormatting>
  <conditionalFormatting sqref="B49:F72 I49:M72 P49:T72">
    <cfRule type="expression" dxfId="79" priority="13">
      <formula>AND($A49&lt;&gt;"",B49="")</formula>
    </cfRule>
  </conditionalFormatting>
  <conditionalFormatting sqref="P80:T101 P103:T103">
    <cfRule type="expression" dxfId="78" priority="10">
      <formula>AND($A80&lt;&gt;"",B80="")</formula>
    </cfRule>
  </conditionalFormatting>
  <conditionalFormatting sqref="B80:F103 I80:M103 P80:T103">
    <cfRule type="expression" dxfId="77" priority="11">
      <formula>AND($A80&lt;&gt;"",B80="")</formula>
    </cfRule>
  </conditionalFormatting>
  <conditionalFormatting sqref="P40:T40">
    <cfRule type="expression" dxfId="76" priority="8">
      <formula>AND($A40&lt;&gt;"",B40="")</formula>
    </cfRule>
  </conditionalFormatting>
  <conditionalFormatting sqref="P71:T71">
    <cfRule type="expression" dxfId="75" priority="6">
      <formula>AND($A71&lt;&gt;"",B71="")</formula>
    </cfRule>
  </conditionalFormatting>
  <conditionalFormatting sqref="P102:T102">
    <cfRule type="expression" dxfId="74" priority="4">
      <formula>AND($A102&lt;&gt;"",B102="")</formula>
    </cfRule>
  </conditionalFormatting>
  <conditionalFormatting sqref="B18:F41">
    <cfRule type="expression" dxfId="73" priority="3">
      <formula>$A18="Other"</formula>
    </cfRule>
  </conditionalFormatting>
  <conditionalFormatting sqref="B49:F72">
    <cfRule type="expression" dxfId="72" priority="2">
      <formula>$A49="Other"</formula>
    </cfRule>
  </conditionalFormatting>
  <conditionalFormatting sqref="B80:F103">
    <cfRule type="expression" dxfId="71" priority="1">
      <formula>$A80="Other"</formula>
    </cfRule>
  </conditionalFormatting>
  <pageMargins left="0.5" right="0.5" top="0.5" bottom="0.5" header="0.3" footer="0.3"/>
  <pageSetup scale="26"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16"/>
  <sheetViews>
    <sheetView showGridLines="0" workbookViewId="0">
      <selection activeCell="H9" sqref="H9"/>
    </sheetView>
  </sheetViews>
  <sheetFormatPr defaultRowHeight="12.75"/>
  <cols>
    <col min="1" max="1" width="22.42578125" style="22" customWidth="1"/>
    <col min="2" max="16384" width="9.140625" style="22"/>
  </cols>
  <sheetData>
    <row r="1" spans="1:11" ht="15" customHeight="1">
      <c r="A1" s="36" t="s">
        <v>28</v>
      </c>
    </row>
    <row r="2" spans="1:11" ht="15" customHeight="1">
      <c r="A2" s="36" t="s">
        <v>198</v>
      </c>
    </row>
    <row r="3" spans="1:11" ht="15" customHeight="1">
      <c r="A3" s="30" t="s">
        <v>196</v>
      </c>
      <c r="C3" s="147">
        <f>IF('Set-Up Worksheet'!F3="","Data Not Entered On Set-Up Worksheet",'Set-Up Worksheet'!F3)</f>
        <v>2017</v>
      </c>
    </row>
    <row r="4" spans="1:11" ht="15" customHeight="1">
      <c r="A4" s="30" t="s">
        <v>197</v>
      </c>
      <c r="C4" s="147" t="str">
        <f>IF('Set-Up Worksheet'!F4="","Data Not Entered On Set-Up Worksheet",'Set-Up Worksheet'!F4)</f>
        <v>1st Quarter</v>
      </c>
    </row>
    <row r="5" spans="1:11" ht="15" customHeight="1">
      <c r="C5" s="32"/>
    </row>
    <row r="6" spans="1:11" ht="15" customHeight="1">
      <c r="A6" s="30" t="s">
        <v>193</v>
      </c>
      <c r="C6" s="32"/>
    </row>
    <row r="7" spans="1:11" ht="15" customHeight="1">
      <c r="A7" s="30" t="s">
        <v>194</v>
      </c>
      <c r="C7" s="32"/>
    </row>
    <row r="8" spans="1:11" ht="15" customHeight="1">
      <c r="A8" s="30"/>
      <c r="C8" s="32"/>
    </row>
    <row r="9" spans="1:11" ht="15" customHeight="1">
      <c r="A9" s="30" t="s">
        <v>29</v>
      </c>
      <c r="C9" s="39" t="str">
        <f>IF('Set-Up Worksheet'!E7="","Data Not Entered On Set-Up Worksheet",'Set-Up Worksheet'!E7)</f>
        <v>Data Not Entered On Set-Up Worksheet</v>
      </c>
    </row>
    <row r="10" spans="1:11" ht="15" customHeight="1">
      <c r="A10" s="30" t="s">
        <v>9</v>
      </c>
      <c r="C10" s="32" t="s">
        <v>10</v>
      </c>
    </row>
    <row r="11" spans="1:11" ht="15" customHeight="1">
      <c r="A11" s="30" t="s">
        <v>199</v>
      </c>
      <c r="C11" s="40" t="str">
        <f>IF(C4="Data Not Entered On Set-Up Worksheet","Data Not Entered On Set-Up Worksheet",IF(C4="1st Quarter",'Report Schedule'!D13,IF(C4="2nd Quarter",'Report Schedule'!E13,IF(C4="3rd Quarter",'Report Schedule'!F13,IF(C4="4th Quarter",'Report Schedule'!G13,"")))))</f>
        <v>Jul - Sep 2016</v>
      </c>
    </row>
    <row r="14" spans="1:11" ht="60.75" customHeight="1">
      <c r="A14" s="522" t="s">
        <v>466</v>
      </c>
      <c r="B14" s="522"/>
      <c r="C14" s="522"/>
      <c r="D14" s="522"/>
      <c r="E14" s="522"/>
      <c r="F14" s="522"/>
      <c r="G14" s="522"/>
      <c r="H14" s="522"/>
      <c r="I14" s="522"/>
      <c r="J14" s="522"/>
      <c r="K14" s="47"/>
    </row>
    <row r="15" spans="1:11">
      <c r="A15" s="47"/>
      <c r="B15" s="47"/>
      <c r="C15" s="47"/>
      <c r="D15" s="47"/>
      <c r="E15" s="47"/>
      <c r="F15" s="47"/>
      <c r="G15" s="47"/>
      <c r="H15" s="47"/>
      <c r="I15" s="47"/>
      <c r="J15" s="47"/>
      <c r="K15" s="47"/>
    </row>
    <row r="16" spans="1:11">
      <c r="A16" s="47"/>
      <c r="B16" s="47"/>
      <c r="C16" s="47"/>
      <c r="D16" s="47"/>
      <c r="E16" s="47"/>
      <c r="F16" s="47"/>
      <c r="G16" s="47"/>
      <c r="H16" s="47"/>
      <c r="I16" s="47"/>
      <c r="J16" s="47"/>
      <c r="K16" s="47"/>
    </row>
  </sheetData>
  <sheetProtection sheet="1" objects="1" scenarios="1"/>
  <mergeCells count="1">
    <mergeCell ref="A14:J14"/>
  </mergeCells>
  <conditionalFormatting sqref="C3:C4">
    <cfRule type="expression" dxfId="545" priority="4">
      <formula>C3="Data Not Entered On Set-Up Worksheet"</formula>
    </cfRule>
  </conditionalFormatting>
  <conditionalFormatting sqref="C9">
    <cfRule type="expression" dxfId="544" priority="3">
      <formula>C9="Data Not Entered On Set-Up Worksheet"</formula>
    </cfRule>
  </conditionalFormatting>
  <conditionalFormatting sqref="C11">
    <cfRule type="expression" dxfId="543"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1"/>
  <sheetViews>
    <sheetView showGridLines="0" workbookViewId="0">
      <selection activeCell="B16" sqref="B16"/>
    </sheetView>
  </sheetViews>
  <sheetFormatPr defaultRowHeight="12.75"/>
  <cols>
    <col min="1" max="1" width="22.42578125" style="22" customWidth="1"/>
    <col min="2" max="5" width="19.28515625" style="22" customWidth="1"/>
    <col min="6" max="7" width="16.7109375" style="22" customWidth="1"/>
    <col min="8" max="12" width="19.28515625" style="22" customWidth="1"/>
    <col min="13" max="14" width="16.7109375" style="22" customWidth="1"/>
    <col min="15" max="19" width="19.28515625" style="22" customWidth="1"/>
    <col min="20" max="21" width="16.7109375" style="22" customWidth="1"/>
    <col min="22" max="22" width="19.28515625" style="22" customWidth="1"/>
    <col min="23" max="16384" width="9.140625" style="22"/>
  </cols>
  <sheetData>
    <row r="1" spans="1:22" ht="15" customHeight="1">
      <c r="A1" s="36" t="s">
        <v>28</v>
      </c>
      <c r="I1" s="36" t="s">
        <v>332</v>
      </c>
      <c r="P1" s="36" t="s">
        <v>332</v>
      </c>
    </row>
    <row r="2" spans="1:22" ht="15" customHeight="1">
      <c r="A2" s="36" t="s">
        <v>198</v>
      </c>
      <c r="I2" s="358" t="s">
        <v>333</v>
      </c>
      <c r="P2" s="358" t="s">
        <v>333</v>
      </c>
    </row>
    <row r="3" spans="1:22" ht="15" customHeight="1">
      <c r="A3" s="30" t="s">
        <v>196</v>
      </c>
      <c r="C3" s="147">
        <f>IF('Set-Up Worksheet'!F3="","Data Not Entered On Set-Up Worksheet",'Set-Up Worksheet'!F3)</f>
        <v>2017</v>
      </c>
      <c r="J3" s="357">
        <f>C3</f>
        <v>2017</v>
      </c>
      <c r="K3" s="355"/>
      <c r="L3" s="355"/>
      <c r="M3" s="355"/>
      <c r="Q3" s="357">
        <f>C3</f>
        <v>2017</v>
      </c>
    </row>
    <row r="4" spans="1:22" ht="15" customHeight="1">
      <c r="A4" s="30" t="s">
        <v>197</v>
      </c>
      <c r="C4" s="147" t="str">
        <f>IF('Set-Up Worksheet'!F4="","Data Not Entered On Set-Up Worksheet",'Set-Up Worksheet'!F4)</f>
        <v>1st Quarter</v>
      </c>
      <c r="D4" s="32"/>
      <c r="E4" s="32"/>
      <c r="F4" s="32"/>
      <c r="J4" s="355" t="str">
        <f>C4</f>
        <v>1st Quarter</v>
      </c>
      <c r="K4" s="355"/>
      <c r="L4" s="355"/>
      <c r="M4" s="355"/>
      <c r="Q4" s="355" t="str">
        <f>C4</f>
        <v>1st Quarter</v>
      </c>
    </row>
    <row r="5" spans="1:22" ht="15" customHeight="1">
      <c r="A5" s="30"/>
      <c r="C5" s="32"/>
      <c r="D5" s="32"/>
      <c r="E5" s="32"/>
      <c r="F5" s="32"/>
      <c r="J5" s="355"/>
      <c r="K5" s="355"/>
      <c r="L5" s="355"/>
      <c r="M5" s="355"/>
      <c r="Q5" s="355"/>
    </row>
    <row r="6" spans="1:22" ht="15" customHeight="1">
      <c r="A6" s="30" t="s">
        <v>339</v>
      </c>
      <c r="C6" s="32"/>
      <c r="D6" s="32"/>
      <c r="E6" s="32"/>
      <c r="F6" s="32"/>
      <c r="J6" s="355"/>
      <c r="K6" s="355"/>
      <c r="L6" s="355"/>
      <c r="M6" s="355"/>
      <c r="Q6" s="355"/>
    </row>
    <row r="7" spans="1:22" ht="15" customHeight="1">
      <c r="A7" s="30" t="s">
        <v>417</v>
      </c>
      <c r="C7" s="32"/>
      <c r="D7" s="32"/>
      <c r="E7" s="32"/>
      <c r="F7" s="32"/>
      <c r="I7" s="30" t="s">
        <v>418</v>
      </c>
      <c r="J7" s="355"/>
      <c r="K7" s="355"/>
      <c r="L7" s="355"/>
      <c r="M7" s="355"/>
      <c r="P7" s="30" t="s">
        <v>418</v>
      </c>
      <c r="Q7" s="355"/>
    </row>
    <row r="8" spans="1:22" ht="15" customHeight="1">
      <c r="A8" s="30"/>
      <c r="C8" s="32"/>
      <c r="D8" s="32"/>
      <c r="E8" s="32"/>
      <c r="F8" s="32"/>
      <c r="J8" s="355"/>
      <c r="K8" s="355"/>
      <c r="L8" s="355"/>
      <c r="M8" s="355"/>
      <c r="Q8" s="355"/>
    </row>
    <row r="9" spans="1:22" ht="15" customHeight="1">
      <c r="A9" s="30" t="s">
        <v>29</v>
      </c>
      <c r="C9" s="39" t="str">
        <f>IF('Set-Up Worksheet'!E7="","Data Not Entered On Set-Up Worksheet",'Set-Up Worksheet'!E7)</f>
        <v>Data Not Entered On Set-Up Worksheet</v>
      </c>
      <c r="J9" s="355" t="str">
        <f>C9</f>
        <v>Data Not Entered On Set-Up Worksheet</v>
      </c>
      <c r="K9" s="355"/>
      <c r="L9" s="355"/>
      <c r="M9" s="355"/>
      <c r="Q9" s="355" t="str">
        <f>C9</f>
        <v>Data Not Entered On Set-Up Worksheet</v>
      </c>
    </row>
    <row r="10" spans="1:22" ht="15" customHeight="1">
      <c r="A10" s="30" t="s">
        <v>9</v>
      </c>
      <c r="C10" s="32" t="s">
        <v>10</v>
      </c>
      <c r="J10" s="355" t="str">
        <f>C10</f>
        <v>Behavioral Health</v>
      </c>
      <c r="K10" s="355"/>
      <c r="L10" s="355"/>
      <c r="M10" s="355"/>
      <c r="Q10" s="355" t="str">
        <f>C10</f>
        <v>Behavioral Health</v>
      </c>
    </row>
    <row r="11" spans="1:22" ht="15" customHeight="1">
      <c r="A11" s="30" t="s">
        <v>199</v>
      </c>
      <c r="C11" s="40" t="str">
        <f>IF(C4="Data Not Entered On Set-Up Worksheet","Data Not Entered On Set-Up Worksheet",IF(C4="1st Quarter",'Report Schedule'!D52,IF(C4="2nd Quarter",'Report Schedule'!E52,IF(C4="3rd Quarter",'Report Schedule'!F52,IF(C4="4th Quarter",'Report Schedule'!G52,"")))))</f>
        <v>Apr - Jun 2016</v>
      </c>
      <c r="F11" s="79" t="s">
        <v>40</v>
      </c>
      <c r="J11" s="355" t="str">
        <f>C11</f>
        <v>Apr - Jun 2016</v>
      </c>
      <c r="K11" s="355"/>
      <c r="L11" s="355"/>
      <c r="M11" s="356" t="s">
        <v>40</v>
      </c>
      <c r="Q11" s="355" t="str">
        <f>C11</f>
        <v>Apr - Jun 2016</v>
      </c>
      <c r="T11" s="356" t="s">
        <v>40</v>
      </c>
    </row>
    <row r="12" spans="1:22" ht="15" customHeight="1" thickBot="1">
      <c r="A12" s="30"/>
      <c r="B12" s="40"/>
    </row>
    <row r="13" spans="1:22" ht="18" customHeight="1" thickBot="1">
      <c r="A13" s="226" t="s">
        <v>330</v>
      </c>
      <c r="B13" s="384" t="s">
        <v>39</v>
      </c>
      <c r="C13" s="235"/>
      <c r="D13" s="235"/>
      <c r="E13" s="235"/>
      <c r="F13" s="235"/>
      <c r="G13" s="235"/>
      <c r="H13" s="236"/>
      <c r="I13" s="383" t="s">
        <v>244</v>
      </c>
      <c r="J13" s="231"/>
      <c r="K13" s="231"/>
      <c r="L13" s="231"/>
      <c r="M13" s="231"/>
      <c r="N13" s="231"/>
      <c r="O13" s="232"/>
      <c r="P13" s="384" t="s">
        <v>246</v>
      </c>
      <c r="Q13" s="235"/>
      <c r="R13" s="235"/>
      <c r="S13" s="235"/>
      <c r="T13" s="235"/>
      <c r="U13" s="235"/>
      <c r="V13" s="236"/>
    </row>
    <row r="14" spans="1:22" ht="13.5" thickBot="1">
      <c r="A14" s="30"/>
      <c r="B14" s="37" t="s">
        <v>3</v>
      </c>
      <c r="C14" s="37"/>
      <c r="D14" s="37"/>
      <c r="E14" s="37"/>
      <c r="F14" s="37"/>
      <c r="G14" s="37" t="s">
        <v>4</v>
      </c>
      <c r="H14" s="37" t="s">
        <v>8</v>
      </c>
      <c r="I14" s="37" t="s">
        <v>3</v>
      </c>
      <c r="J14" s="37"/>
      <c r="K14" s="37"/>
      <c r="L14" s="37"/>
      <c r="M14" s="37"/>
      <c r="N14" s="37" t="s">
        <v>4</v>
      </c>
      <c r="O14" s="37" t="s">
        <v>8</v>
      </c>
      <c r="P14" s="37" t="s">
        <v>3</v>
      </c>
      <c r="Q14" s="37"/>
      <c r="R14" s="37"/>
      <c r="S14" s="37"/>
      <c r="T14" s="37"/>
      <c r="U14" s="37" t="s">
        <v>4</v>
      </c>
      <c r="V14" s="37" t="s">
        <v>8</v>
      </c>
    </row>
    <row r="15" spans="1:22" ht="38.25">
      <c r="A15" s="75" t="s">
        <v>43</v>
      </c>
      <c r="B15" s="409" t="s">
        <v>445</v>
      </c>
      <c r="C15" s="410" t="s">
        <v>446</v>
      </c>
      <c r="D15" s="410" t="s">
        <v>447</v>
      </c>
      <c r="E15" s="410" t="s">
        <v>443</v>
      </c>
      <c r="F15" s="410" t="s">
        <v>444</v>
      </c>
      <c r="G15" s="410" t="s">
        <v>30</v>
      </c>
      <c r="H15" s="410" t="s">
        <v>448</v>
      </c>
      <c r="I15" s="411" t="s">
        <v>445</v>
      </c>
      <c r="J15" s="412" t="s">
        <v>446</v>
      </c>
      <c r="K15" s="412" t="s">
        <v>447</v>
      </c>
      <c r="L15" s="412" t="s">
        <v>443</v>
      </c>
      <c r="M15" s="412" t="s">
        <v>444</v>
      </c>
      <c r="N15" s="412" t="s">
        <v>30</v>
      </c>
      <c r="O15" s="412" t="s">
        <v>448</v>
      </c>
      <c r="P15" s="409" t="s">
        <v>445</v>
      </c>
      <c r="Q15" s="410" t="s">
        <v>446</v>
      </c>
      <c r="R15" s="410" t="s">
        <v>447</v>
      </c>
      <c r="S15" s="410" t="s">
        <v>443</v>
      </c>
      <c r="T15" s="410" t="s">
        <v>444</v>
      </c>
      <c r="U15" s="410" t="s">
        <v>30</v>
      </c>
      <c r="V15" s="413" t="s">
        <v>448</v>
      </c>
    </row>
    <row r="16" spans="1:22" ht="18" customHeight="1">
      <c r="A16" s="76" t="str">
        <f>IF($C$9="Data Not Entered On Set-Up Worksheet","",IF(OR(VLOOKUP($C$9,County_Lookup,2,FALSE)="",VLOOKUP($C$9,County_Lookup,2,FALSE)=0),"",VLOOKUP($C$9,County_Lookup,2,FALSE)))</f>
        <v/>
      </c>
      <c r="B16" s="52"/>
      <c r="C16" s="42"/>
      <c r="D16" s="42"/>
      <c r="E16" s="42"/>
      <c r="F16" s="42"/>
      <c r="G16" s="42"/>
      <c r="H16" s="43" t="str">
        <f t="shared" ref="H16:H40" si="0">IF($A16="","",IF($G16=0,0,B16/$G16))</f>
        <v/>
      </c>
      <c r="I16" s="52"/>
      <c r="J16" s="42"/>
      <c r="K16" s="42"/>
      <c r="L16" s="42"/>
      <c r="M16" s="42"/>
      <c r="N16" s="42"/>
      <c r="O16" s="43" t="str">
        <f t="shared" ref="O16:O40" si="1">IF($A16="","",IF($N16=0,0,I16/$N16))</f>
        <v/>
      </c>
      <c r="P16" s="52"/>
      <c r="Q16" s="42"/>
      <c r="R16" s="42"/>
      <c r="S16" s="42"/>
      <c r="T16" s="42"/>
      <c r="U16" s="42"/>
      <c r="V16" s="347" t="str">
        <f t="shared" ref="V16:V40" si="2">IF($A16="","",IF($U16=0,0,P16/$U16))</f>
        <v/>
      </c>
    </row>
    <row r="17" spans="1:22" ht="18" customHeight="1">
      <c r="A17" s="77" t="str">
        <f>IF($C$9="Data Not Entered On Set-Up Worksheet","",IF(OR(VLOOKUP($C$9,County_Lookup,3,FALSE)="",VLOOKUP($C$9,County_Lookup,3,FALSE)=0),"",VLOOKUP($C$9,County_Lookup,3,FALSE)))</f>
        <v/>
      </c>
      <c r="B17" s="52"/>
      <c r="C17" s="42"/>
      <c r="D17" s="42"/>
      <c r="E17" s="42"/>
      <c r="F17" s="42"/>
      <c r="G17" s="42"/>
      <c r="H17" s="43" t="str">
        <f t="shared" si="0"/>
        <v/>
      </c>
      <c r="I17" s="52"/>
      <c r="J17" s="42"/>
      <c r="K17" s="42"/>
      <c r="L17" s="42"/>
      <c r="M17" s="42"/>
      <c r="N17" s="42"/>
      <c r="O17" s="43" t="str">
        <f t="shared" si="1"/>
        <v/>
      </c>
      <c r="P17" s="52"/>
      <c r="Q17" s="42"/>
      <c r="R17" s="42"/>
      <c r="S17" s="42"/>
      <c r="T17" s="42"/>
      <c r="U17" s="42"/>
      <c r="V17" s="347" t="str">
        <f t="shared" si="2"/>
        <v/>
      </c>
    </row>
    <row r="18" spans="1:22" ht="18" customHeight="1">
      <c r="A18" s="77" t="str">
        <f>IF($C$9="Data Not Entered On Set-Up Worksheet","",IF(OR(VLOOKUP($C$9,County_Lookup,4,FALSE)="",VLOOKUP($C$9,County_Lookup,4,FALSE)=0),"",VLOOKUP($C$9,County_Lookup,4,FALSE)))</f>
        <v/>
      </c>
      <c r="B18" s="52"/>
      <c r="C18" s="42"/>
      <c r="D18" s="42"/>
      <c r="E18" s="42"/>
      <c r="F18" s="42"/>
      <c r="G18" s="42"/>
      <c r="H18" s="43" t="str">
        <f t="shared" si="0"/>
        <v/>
      </c>
      <c r="I18" s="52"/>
      <c r="J18" s="42"/>
      <c r="K18" s="42"/>
      <c r="L18" s="42"/>
      <c r="M18" s="42"/>
      <c r="N18" s="42"/>
      <c r="O18" s="43" t="str">
        <f t="shared" si="1"/>
        <v/>
      </c>
      <c r="P18" s="52"/>
      <c r="Q18" s="42"/>
      <c r="R18" s="42"/>
      <c r="S18" s="42"/>
      <c r="T18" s="42"/>
      <c r="U18" s="42"/>
      <c r="V18" s="347" t="str">
        <f t="shared" si="2"/>
        <v/>
      </c>
    </row>
    <row r="19" spans="1:22" ht="18" customHeight="1">
      <c r="A19" s="77" t="str">
        <f>IF($C$9="Data Not Entered On Set-Up Worksheet","",IF(OR(VLOOKUP($C$9,County_Lookup,5,FALSE)="",VLOOKUP($C$9,County_Lookup,5,FALSE)=0),"",VLOOKUP($C$9,County_Lookup,5,FALSE)))</f>
        <v/>
      </c>
      <c r="B19" s="52"/>
      <c r="C19" s="42"/>
      <c r="D19" s="42"/>
      <c r="E19" s="42"/>
      <c r="F19" s="42"/>
      <c r="G19" s="42"/>
      <c r="H19" s="43" t="str">
        <f t="shared" si="0"/>
        <v/>
      </c>
      <c r="I19" s="52"/>
      <c r="J19" s="42"/>
      <c r="K19" s="42"/>
      <c r="L19" s="42"/>
      <c r="M19" s="42"/>
      <c r="N19" s="42"/>
      <c r="O19" s="43" t="str">
        <f t="shared" si="1"/>
        <v/>
      </c>
      <c r="P19" s="52"/>
      <c r="Q19" s="42"/>
      <c r="R19" s="42"/>
      <c r="S19" s="42"/>
      <c r="T19" s="42"/>
      <c r="U19" s="42"/>
      <c r="V19" s="347" t="str">
        <f t="shared" si="2"/>
        <v/>
      </c>
    </row>
    <row r="20" spans="1:22" ht="18" customHeight="1">
      <c r="A20" s="77" t="str">
        <f>IF($C$9="Data Not Entered On Set-Up Worksheet","",IF(OR(VLOOKUP($C$9,County_Lookup,6,FALSE)="",VLOOKUP($C$9,County_Lookup,6,FALSE)=0),"",VLOOKUP($C$9,County_Lookup,6,FALSE)))</f>
        <v/>
      </c>
      <c r="B20" s="52"/>
      <c r="C20" s="42"/>
      <c r="D20" s="42"/>
      <c r="E20" s="42"/>
      <c r="F20" s="42"/>
      <c r="G20" s="42"/>
      <c r="H20" s="43" t="str">
        <f t="shared" si="0"/>
        <v/>
      </c>
      <c r="I20" s="52"/>
      <c r="J20" s="42"/>
      <c r="K20" s="42"/>
      <c r="L20" s="42"/>
      <c r="M20" s="42"/>
      <c r="N20" s="42"/>
      <c r="O20" s="43" t="str">
        <f t="shared" si="1"/>
        <v/>
      </c>
      <c r="P20" s="52"/>
      <c r="Q20" s="42"/>
      <c r="R20" s="42"/>
      <c r="S20" s="42"/>
      <c r="T20" s="42"/>
      <c r="U20" s="42"/>
      <c r="V20" s="347" t="str">
        <f t="shared" si="2"/>
        <v/>
      </c>
    </row>
    <row r="21" spans="1:22" ht="18" customHeight="1">
      <c r="A21" s="77" t="str">
        <f>IF($C$9="Data Not Entered On Set-Up Worksheet","",IF(OR(VLOOKUP($C$9,County_Lookup,7,FALSE)="",VLOOKUP($C$9,County_Lookup,7,FALSE)=0),"",VLOOKUP($C$9,County_Lookup,7,FALSE)))</f>
        <v/>
      </c>
      <c r="B21" s="52"/>
      <c r="C21" s="42"/>
      <c r="D21" s="42"/>
      <c r="E21" s="42"/>
      <c r="F21" s="42"/>
      <c r="G21" s="42"/>
      <c r="H21" s="43" t="str">
        <f t="shared" si="0"/>
        <v/>
      </c>
      <c r="I21" s="52"/>
      <c r="J21" s="42"/>
      <c r="K21" s="42"/>
      <c r="L21" s="42"/>
      <c r="M21" s="42"/>
      <c r="N21" s="42"/>
      <c r="O21" s="43" t="str">
        <f t="shared" si="1"/>
        <v/>
      </c>
      <c r="P21" s="52"/>
      <c r="Q21" s="42"/>
      <c r="R21" s="42"/>
      <c r="S21" s="42"/>
      <c r="T21" s="42"/>
      <c r="U21" s="42"/>
      <c r="V21" s="347" t="str">
        <f t="shared" si="2"/>
        <v/>
      </c>
    </row>
    <row r="22" spans="1:22" ht="18" customHeight="1">
      <c r="A22" s="76" t="str">
        <f>IF($C$9="Data Not Entered On Set-Up Worksheet","",IF(OR(VLOOKUP($C$9,County_Lookup,8,FALSE)="",VLOOKUP($C$9,County_Lookup,8,FALSE)=0),"",VLOOKUP($C$9,County_Lookup,8,FALSE)))</f>
        <v/>
      </c>
      <c r="B22" s="52"/>
      <c r="C22" s="42"/>
      <c r="D22" s="42"/>
      <c r="E22" s="42"/>
      <c r="F22" s="42"/>
      <c r="G22" s="42"/>
      <c r="H22" s="43" t="str">
        <f t="shared" si="0"/>
        <v/>
      </c>
      <c r="I22" s="52"/>
      <c r="J22" s="42"/>
      <c r="K22" s="42"/>
      <c r="L22" s="42"/>
      <c r="M22" s="42"/>
      <c r="N22" s="42"/>
      <c r="O22" s="43" t="str">
        <f t="shared" si="1"/>
        <v/>
      </c>
      <c r="P22" s="52"/>
      <c r="Q22" s="42"/>
      <c r="R22" s="42"/>
      <c r="S22" s="42"/>
      <c r="T22" s="42"/>
      <c r="U22" s="42"/>
      <c r="V22" s="347" t="str">
        <f t="shared" si="2"/>
        <v/>
      </c>
    </row>
    <row r="23" spans="1:22" ht="18" customHeight="1">
      <c r="A23" s="77" t="str">
        <f>IF($C$9="Data Not Entered On Set-Up Worksheet","",IF(OR(VLOOKUP($C$9,County_Lookup,9,FALSE)="",VLOOKUP($C$9,County_Lookup,9,FALSE)=0),"",VLOOKUP($C$9,County_Lookup,9,FALSE)))</f>
        <v/>
      </c>
      <c r="B23" s="52"/>
      <c r="C23" s="42"/>
      <c r="D23" s="42"/>
      <c r="E23" s="42"/>
      <c r="F23" s="42"/>
      <c r="G23" s="42"/>
      <c r="H23" s="43" t="str">
        <f t="shared" si="0"/>
        <v/>
      </c>
      <c r="I23" s="52"/>
      <c r="J23" s="42"/>
      <c r="K23" s="42"/>
      <c r="L23" s="42"/>
      <c r="M23" s="42"/>
      <c r="N23" s="42"/>
      <c r="O23" s="43" t="str">
        <f t="shared" si="1"/>
        <v/>
      </c>
      <c r="P23" s="52"/>
      <c r="Q23" s="42"/>
      <c r="R23" s="42"/>
      <c r="S23" s="42"/>
      <c r="T23" s="42"/>
      <c r="U23" s="42"/>
      <c r="V23" s="347" t="str">
        <f t="shared" si="2"/>
        <v/>
      </c>
    </row>
    <row r="24" spans="1:22" ht="18" customHeight="1">
      <c r="A24" s="77" t="str">
        <f>IF($C$9="Data Not Entered On Set-Up Worksheet","",IF(OR(VLOOKUP($C$9,County_Lookup,10,FALSE)="",VLOOKUP($C$9,County_Lookup,10,FALSE)=0),"",VLOOKUP($C$9,County_Lookup,10,FALSE)))</f>
        <v/>
      </c>
      <c r="B24" s="52"/>
      <c r="C24" s="42"/>
      <c r="D24" s="42"/>
      <c r="E24" s="42"/>
      <c r="F24" s="42"/>
      <c r="G24" s="42"/>
      <c r="H24" s="43" t="str">
        <f t="shared" si="0"/>
        <v/>
      </c>
      <c r="I24" s="52"/>
      <c r="J24" s="42"/>
      <c r="K24" s="42"/>
      <c r="L24" s="42"/>
      <c r="M24" s="42"/>
      <c r="N24" s="42"/>
      <c r="O24" s="43" t="str">
        <f t="shared" si="1"/>
        <v/>
      </c>
      <c r="P24" s="52"/>
      <c r="Q24" s="42"/>
      <c r="R24" s="42"/>
      <c r="S24" s="42"/>
      <c r="T24" s="42"/>
      <c r="U24" s="42"/>
      <c r="V24" s="347" t="str">
        <f t="shared" si="2"/>
        <v/>
      </c>
    </row>
    <row r="25" spans="1:22" ht="18" customHeight="1">
      <c r="A25" s="77" t="str">
        <f>IF($C$9="Data Not Entered On Set-Up Worksheet","",IF(OR(VLOOKUP($C$9,County_Lookup,11,FALSE)="",VLOOKUP($C$9,County_Lookup,11,FALSE)=0),"",VLOOKUP($C$9,County_Lookup,11,FALSE)))</f>
        <v/>
      </c>
      <c r="B25" s="52"/>
      <c r="C25" s="42"/>
      <c r="D25" s="42"/>
      <c r="E25" s="42"/>
      <c r="F25" s="42"/>
      <c r="G25" s="42"/>
      <c r="H25" s="43" t="str">
        <f t="shared" si="0"/>
        <v/>
      </c>
      <c r="I25" s="52"/>
      <c r="J25" s="42"/>
      <c r="K25" s="42"/>
      <c r="L25" s="42"/>
      <c r="M25" s="42"/>
      <c r="N25" s="42"/>
      <c r="O25" s="43" t="str">
        <f t="shared" si="1"/>
        <v/>
      </c>
      <c r="P25" s="52"/>
      <c r="Q25" s="42"/>
      <c r="R25" s="42"/>
      <c r="S25" s="42"/>
      <c r="T25" s="42"/>
      <c r="U25" s="42"/>
      <c r="V25" s="347" t="str">
        <f t="shared" si="2"/>
        <v/>
      </c>
    </row>
    <row r="26" spans="1:22" ht="18" customHeight="1">
      <c r="A26" s="77" t="str">
        <f>IF($C$9="Data Not Entered On Set-Up Worksheet","",IF(OR(VLOOKUP($C$9,County_Lookup,12,FALSE)="",VLOOKUP($C$9,County_Lookup,12,FALSE)=0),"",VLOOKUP($C$9,County_Lookup,12,FALSE)))</f>
        <v/>
      </c>
      <c r="B26" s="52"/>
      <c r="C26" s="42"/>
      <c r="D26" s="42"/>
      <c r="E26" s="42"/>
      <c r="F26" s="42"/>
      <c r="G26" s="42"/>
      <c r="H26" s="43" t="str">
        <f t="shared" si="0"/>
        <v/>
      </c>
      <c r="I26" s="52"/>
      <c r="J26" s="42"/>
      <c r="K26" s="42"/>
      <c r="L26" s="42"/>
      <c r="M26" s="42"/>
      <c r="N26" s="42"/>
      <c r="O26" s="43" t="str">
        <f t="shared" si="1"/>
        <v/>
      </c>
      <c r="P26" s="52"/>
      <c r="Q26" s="42"/>
      <c r="R26" s="42"/>
      <c r="S26" s="42"/>
      <c r="T26" s="42"/>
      <c r="U26" s="42"/>
      <c r="V26" s="347" t="str">
        <f t="shared" si="2"/>
        <v/>
      </c>
    </row>
    <row r="27" spans="1:22" ht="18" customHeight="1">
      <c r="A27" s="77" t="str">
        <f>IF($C$9="Data Not Entered On Set-Up Worksheet","",IF(OR(VLOOKUP($C$9,County_Lookup,13,FALSE)="",VLOOKUP($C$9,County_Lookup,13,FALSE)=0),"",VLOOKUP($C$9,County_Lookup,13,FALSE)))</f>
        <v/>
      </c>
      <c r="B27" s="52"/>
      <c r="C27" s="42"/>
      <c r="D27" s="42"/>
      <c r="E27" s="42"/>
      <c r="F27" s="42"/>
      <c r="G27" s="42"/>
      <c r="H27" s="43" t="str">
        <f t="shared" si="0"/>
        <v/>
      </c>
      <c r="I27" s="52"/>
      <c r="J27" s="42"/>
      <c r="K27" s="42"/>
      <c r="L27" s="42"/>
      <c r="M27" s="42"/>
      <c r="N27" s="42"/>
      <c r="O27" s="43" t="str">
        <f t="shared" si="1"/>
        <v/>
      </c>
      <c r="P27" s="52"/>
      <c r="Q27" s="42"/>
      <c r="R27" s="42"/>
      <c r="S27" s="42"/>
      <c r="T27" s="42"/>
      <c r="U27" s="42"/>
      <c r="V27" s="347" t="str">
        <f t="shared" si="2"/>
        <v/>
      </c>
    </row>
    <row r="28" spans="1:22" ht="18" customHeight="1">
      <c r="A28" s="77" t="str">
        <f>IF($C$9="Data Not Entered On Set-Up Worksheet","",IF(OR(VLOOKUP($C$9,County_Lookup,14,FALSE)="",VLOOKUP($C$9,County_Lookup,14,FALSE)=0),"",VLOOKUP($C$9,County_Lookup,14,FALSE)))</f>
        <v/>
      </c>
      <c r="B28" s="52"/>
      <c r="C28" s="42"/>
      <c r="D28" s="42"/>
      <c r="E28" s="42"/>
      <c r="F28" s="42"/>
      <c r="G28" s="42"/>
      <c r="H28" s="43" t="str">
        <f t="shared" si="0"/>
        <v/>
      </c>
      <c r="I28" s="52"/>
      <c r="J28" s="42"/>
      <c r="K28" s="42"/>
      <c r="L28" s="42"/>
      <c r="M28" s="42"/>
      <c r="N28" s="42"/>
      <c r="O28" s="43" t="str">
        <f t="shared" si="1"/>
        <v/>
      </c>
      <c r="P28" s="52"/>
      <c r="Q28" s="42"/>
      <c r="R28" s="42"/>
      <c r="S28" s="42"/>
      <c r="T28" s="42"/>
      <c r="U28" s="42"/>
      <c r="V28" s="347" t="str">
        <f t="shared" si="2"/>
        <v/>
      </c>
    </row>
    <row r="29" spans="1:22" ht="18" customHeight="1">
      <c r="A29" s="76" t="str">
        <f>IF($C$9="Data Not Entered On Set-Up Worksheet","",IF(OR(VLOOKUP($C$9,County_Lookup,15,FALSE)="",VLOOKUP($C$9,County_Lookup,15,FALSE)=0),"",VLOOKUP($C$9,County_Lookup,15,FALSE)))</f>
        <v/>
      </c>
      <c r="B29" s="52"/>
      <c r="C29" s="42"/>
      <c r="D29" s="42"/>
      <c r="E29" s="42"/>
      <c r="F29" s="42"/>
      <c r="G29" s="42"/>
      <c r="H29" s="43" t="str">
        <f t="shared" si="0"/>
        <v/>
      </c>
      <c r="I29" s="52"/>
      <c r="J29" s="42"/>
      <c r="K29" s="42"/>
      <c r="L29" s="42"/>
      <c r="M29" s="42"/>
      <c r="N29" s="42"/>
      <c r="O29" s="43" t="str">
        <f t="shared" si="1"/>
        <v/>
      </c>
      <c r="P29" s="52"/>
      <c r="Q29" s="42"/>
      <c r="R29" s="42"/>
      <c r="S29" s="42"/>
      <c r="T29" s="42"/>
      <c r="U29" s="42"/>
      <c r="V29" s="347" t="str">
        <f t="shared" si="2"/>
        <v/>
      </c>
    </row>
    <row r="30" spans="1:22" ht="18" customHeight="1">
      <c r="A30" s="77" t="str">
        <f>IF($C$9="Data Not Entered On Set-Up Worksheet","",IF(OR(VLOOKUP($C$9,County_Lookup,16,FALSE)="",VLOOKUP($C$9,County_Lookup,16,FALSE)=0),"",VLOOKUP($C$9,County_Lookup,16,FALSE)))</f>
        <v/>
      </c>
      <c r="B30" s="52"/>
      <c r="C30" s="42"/>
      <c r="D30" s="42"/>
      <c r="E30" s="42"/>
      <c r="F30" s="42"/>
      <c r="G30" s="42"/>
      <c r="H30" s="43" t="str">
        <f t="shared" si="0"/>
        <v/>
      </c>
      <c r="I30" s="52"/>
      <c r="J30" s="42"/>
      <c r="K30" s="42"/>
      <c r="L30" s="42"/>
      <c r="M30" s="42"/>
      <c r="N30" s="42"/>
      <c r="O30" s="43" t="str">
        <f t="shared" si="1"/>
        <v/>
      </c>
      <c r="P30" s="52"/>
      <c r="Q30" s="42"/>
      <c r="R30" s="42"/>
      <c r="S30" s="42"/>
      <c r="T30" s="42"/>
      <c r="U30" s="42"/>
      <c r="V30" s="347" t="str">
        <f t="shared" si="2"/>
        <v/>
      </c>
    </row>
    <row r="31" spans="1:22" ht="18" customHeight="1">
      <c r="A31" s="77" t="str">
        <f>IF($C$9="Data Not Entered On Set-Up Worksheet","",IF(OR(VLOOKUP($C$9,County_Lookup,17,FALSE)="",VLOOKUP($C$9,County_Lookup,17,FALSE)=0),"",VLOOKUP($C$9,County_Lookup,17,FALSE)))</f>
        <v/>
      </c>
      <c r="B31" s="52"/>
      <c r="C31" s="42"/>
      <c r="D31" s="42"/>
      <c r="E31" s="42"/>
      <c r="F31" s="42"/>
      <c r="G31" s="42"/>
      <c r="H31" s="43" t="str">
        <f t="shared" si="0"/>
        <v/>
      </c>
      <c r="I31" s="52"/>
      <c r="J31" s="42"/>
      <c r="K31" s="42"/>
      <c r="L31" s="42"/>
      <c r="M31" s="42"/>
      <c r="N31" s="42"/>
      <c r="O31" s="43" t="str">
        <f t="shared" si="1"/>
        <v/>
      </c>
      <c r="P31" s="52"/>
      <c r="Q31" s="42"/>
      <c r="R31" s="42"/>
      <c r="S31" s="42"/>
      <c r="T31" s="42"/>
      <c r="U31" s="42"/>
      <c r="V31" s="347" t="str">
        <f t="shared" si="2"/>
        <v/>
      </c>
    </row>
    <row r="32" spans="1:22" ht="18" customHeight="1">
      <c r="A32" s="77" t="str">
        <f>IF($C$9="Data Not Entered On Set-Up Worksheet","",IF(OR(VLOOKUP($C$9,County_Lookup,18,FALSE)="",VLOOKUP($C$9,County_Lookup,18,FALSE)=0),"",VLOOKUP($C$9,County_Lookup,18,FALSE)))</f>
        <v/>
      </c>
      <c r="B32" s="52"/>
      <c r="C32" s="42"/>
      <c r="D32" s="42"/>
      <c r="E32" s="42"/>
      <c r="F32" s="42"/>
      <c r="G32" s="42"/>
      <c r="H32" s="43" t="str">
        <f t="shared" si="0"/>
        <v/>
      </c>
      <c r="I32" s="52"/>
      <c r="J32" s="42"/>
      <c r="K32" s="42"/>
      <c r="L32" s="42"/>
      <c r="M32" s="42"/>
      <c r="N32" s="42"/>
      <c r="O32" s="43" t="str">
        <f t="shared" si="1"/>
        <v/>
      </c>
      <c r="P32" s="52"/>
      <c r="Q32" s="42"/>
      <c r="R32" s="42"/>
      <c r="S32" s="42"/>
      <c r="T32" s="42"/>
      <c r="U32" s="42"/>
      <c r="V32" s="347" t="str">
        <f t="shared" si="2"/>
        <v/>
      </c>
    </row>
    <row r="33" spans="1:22" ht="18" customHeight="1">
      <c r="A33" s="77" t="str">
        <f>IF($C$9="Data Not Entered On Set-Up Worksheet","",IF(OR(VLOOKUP($C$9,County_Lookup,19,FALSE)="",VLOOKUP($C$9,County_Lookup,19,FALSE)=0),"",VLOOKUP($C$9,County_Lookup,19,FALSE)))</f>
        <v/>
      </c>
      <c r="B33" s="52"/>
      <c r="C33" s="42"/>
      <c r="D33" s="42"/>
      <c r="E33" s="42"/>
      <c r="F33" s="42"/>
      <c r="G33" s="42"/>
      <c r="H33" s="43" t="str">
        <f t="shared" si="0"/>
        <v/>
      </c>
      <c r="I33" s="52"/>
      <c r="J33" s="42"/>
      <c r="K33" s="42"/>
      <c r="L33" s="42"/>
      <c r="M33" s="42"/>
      <c r="N33" s="42"/>
      <c r="O33" s="43" t="str">
        <f t="shared" si="1"/>
        <v/>
      </c>
      <c r="P33" s="52"/>
      <c r="Q33" s="42"/>
      <c r="R33" s="42"/>
      <c r="S33" s="42"/>
      <c r="T33" s="42"/>
      <c r="U33" s="42"/>
      <c r="V33" s="347" t="str">
        <f t="shared" si="2"/>
        <v/>
      </c>
    </row>
    <row r="34" spans="1:22" ht="18" customHeight="1">
      <c r="A34" s="77" t="str">
        <f>IF($C$9="Data Not Entered On Set-Up Worksheet","",IF(OR(VLOOKUP($C$9,County_Lookup,20,FALSE)="",VLOOKUP($C$9,County_Lookup,20,FALSE)=0),"",VLOOKUP($C$9,County_Lookup,20,FALSE)))</f>
        <v/>
      </c>
      <c r="B34" s="52"/>
      <c r="C34" s="42"/>
      <c r="D34" s="42"/>
      <c r="E34" s="42"/>
      <c r="F34" s="42"/>
      <c r="G34" s="42"/>
      <c r="H34" s="43" t="str">
        <f t="shared" si="0"/>
        <v/>
      </c>
      <c r="I34" s="52"/>
      <c r="J34" s="42"/>
      <c r="K34" s="42"/>
      <c r="L34" s="42"/>
      <c r="M34" s="42"/>
      <c r="N34" s="42"/>
      <c r="O34" s="43" t="str">
        <f t="shared" si="1"/>
        <v/>
      </c>
      <c r="P34" s="52"/>
      <c r="Q34" s="42"/>
      <c r="R34" s="42"/>
      <c r="S34" s="42"/>
      <c r="T34" s="42"/>
      <c r="U34" s="42"/>
      <c r="V34" s="347" t="str">
        <f t="shared" si="2"/>
        <v/>
      </c>
    </row>
    <row r="35" spans="1:22" ht="18" customHeight="1">
      <c r="A35" s="77" t="str">
        <f>IF($C$9="Data Not Entered On Set-Up Worksheet","",IF(OR(VLOOKUP($C$9,County_Lookup,21,FALSE)="",VLOOKUP($C$9,County_Lookup,21,FALSE)=0),"",VLOOKUP($C$9,County_Lookup,21,FALSE)))</f>
        <v/>
      </c>
      <c r="B35" s="52"/>
      <c r="C35" s="42"/>
      <c r="D35" s="42"/>
      <c r="E35" s="42"/>
      <c r="F35" s="42"/>
      <c r="G35" s="42"/>
      <c r="H35" s="43" t="str">
        <f t="shared" si="0"/>
        <v/>
      </c>
      <c r="I35" s="52"/>
      <c r="J35" s="42"/>
      <c r="K35" s="42"/>
      <c r="L35" s="42"/>
      <c r="M35" s="42"/>
      <c r="N35" s="42"/>
      <c r="O35" s="43" t="str">
        <f t="shared" si="1"/>
        <v/>
      </c>
      <c r="P35" s="52"/>
      <c r="Q35" s="42"/>
      <c r="R35" s="42"/>
      <c r="S35" s="42"/>
      <c r="T35" s="42"/>
      <c r="U35" s="42"/>
      <c r="V35" s="347" t="str">
        <f t="shared" si="2"/>
        <v/>
      </c>
    </row>
    <row r="36" spans="1:22" ht="18" customHeight="1">
      <c r="A36" s="76" t="str">
        <f>IF($C$9="Data Not Entered On Set-Up Worksheet","",IF(OR(VLOOKUP($C$9,County_Lookup,22,FALSE)="",VLOOKUP($C$9,County_Lookup,22,FALSE)=0),"",VLOOKUP($C$9,County_Lookup,22,FALSE)))</f>
        <v/>
      </c>
      <c r="B36" s="52"/>
      <c r="C36" s="42"/>
      <c r="D36" s="42"/>
      <c r="E36" s="42"/>
      <c r="F36" s="42"/>
      <c r="G36" s="42"/>
      <c r="H36" s="43" t="str">
        <f t="shared" si="0"/>
        <v/>
      </c>
      <c r="I36" s="52"/>
      <c r="J36" s="42"/>
      <c r="K36" s="42"/>
      <c r="L36" s="42"/>
      <c r="M36" s="42"/>
      <c r="N36" s="42"/>
      <c r="O36" s="43" t="str">
        <f t="shared" si="1"/>
        <v/>
      </c>
      <c r="P36" s="52"/>
      <c r="Q36" s="42"/>
      <c r="R36" s="42"/>
      <c r="S36" s="42"/>
      <c r="T36" s="42"/>
      <c r="U36" s="42"/>
      <c r="V36" s="347" t="str">
        <f t="shared" si="2"/>
        <v/>
      </c>
    </row>
    <row r="37" spans="1:22" ht="18" customHeight="1">
      <c r="A37" s="77" t="str">
        <f>IF($C$9="Data Not Entered On Set-Up Worksheet","",IF(OR(VLOOKUP($C$9,County_Lookup,23,FALSE)="",VLOOKUP($C$9,County_Lookup,23,FALSE)=0),"",VLOOKUP($C$9,County_Lookup,23,FALSE)))</f>
        <v/>
      </c>
      <c r="B37" s="52"/>
      <c r="C37" s="42"/>
      <c r="D37" s="42"/>
      <c r="E37" s="42"/>
      <c r="F37" s="42"/>
      <c r="G37" s="42"/>
      <c r="H37" s="43" t="str">
        <f t="shared" si="0"/>
        <v/>
      </c>
      <c r="I37" s="52"/>
      <c r="J37" s="42"/>
      <c r="K37" s="42"/>
      <c r="L37" s="42"/>
      <c r="M37" s="42"/>
      <c r="N37" s="42"/>
      <c r="O37" s="43" t="str">
        <f t="shared" si="1"/>
        <v/>
      </c>
      <c r="P37" s="52"/>
      <c r="Q37" s="42"/>
      <c r="R37" s="42"/>
      <c r="S37" s="42"/>
      <c r="T37" s="42"/>
      <c r="U37" s="42"/>
      <c r="V37" s="347" t="str">
        <f t="shared" si="2"/>
        <v/>
      </c>
    </row>
    <row r="38" spans="1:22" ht="18" customHeight="1">
      <c r="A38" s="77" t="str">
        <f>IF($C$9="Data Not Entered On Set-Up Worksheet","",IF(OR(VLOOKUP($C$9,County_Lookup,24,FALSE)="",VLOOKUP($C$9,County_Lookup,24,FALSE)=0),"",VLOOKUP($C$9,County_Lookup,24,FALSE)))</f>
        <v/>
      </c>
      <c r="B38" s="52"/>
      <c r="C38" s="42"/>
      <c r="D38" s="42"/>
      <c r="E38" s="42"/>
      <c r="F38" s="42"/>
      <c r="G38" s="42"/>
      <c r="H38" s="43" t="str">
        <f t="shared" ref="H38" si="3">IF($A38="","",IF($G38=0,0,B38/$G38))</f>
        <v/>
      </c>
      <c r="I38" s="52"/>
      <c r="J38" s="42"/>
      <c r="K38" s="42"/>
      <c r="L38" s="42"/>
      <c r="M38" s="42"/>
      <c r="N38" s="42"/>
      <c r="O38" s="43" t="str">
        <f t="shared" ref="O38" si="4">IF($A38="","",IF($N38=0,0,I38/$N38))</f>
        <v/>
      </c>
      <c r="P38" s="52"/>
      <c r="Q38" s="42"/>
      <c r="R38" s="42"/>
      <c r="S38" s="42"/>
      <c r="T38" s="42"/>
      <c r="U38" s="42"/>
      <c r="V38" s="347" t="str">
        <f t="shared" ref="V38" si="5">IF($A38="","",IF($U38=0,0,P38/$U38))</f>
        <v/>
      </c>
    </row>
    <row r="39" spans="1:22" ht="18" customHeight="1">
      <c r="A39" s="77" t="str">
        <f>IF($C$9="Data Not Entered On Set-Up Worksheet","",IF(OR(VLOOKUP($C$9,County_Lookup,25,FALSE)="",VLOOKUP($C$9,County_Lookup,25,FALSE)=0),"",VLOOKUP($C$9,County_Lookup,25,FALSE)))</f>
        <v/>
      </c>
      <c r="B39" s="52"/>
      <c r="C39" s="42"/>
      <c r="D39" s="42"/>
      <c r="E39" s="42"/>
      <c r="F39" s="42"/>
      <c r="G39" s="42"/>
      <c r="H39" s="43" t="str">
        <f t="shared" si="0"/>
        <v/>
      </c>
      <c r="I39" s="52"/>
      <c r="J39" s="42"/>
      <c r="K39" s="42"/>
      <c r="L39" s="42"/>
      <c r="M39" s="42"/>
      <c r="N39" s="42"/>
      <c r="O39" s="43" t="str">
        <f t="shared" si="1"/>
        <v/>
      </c>
      <c r="P39" s="52"/>
      <c r="Q39" s="42"/>
      <c r="R39" s="42"/>
      <c r="S39" s="42"/>
      <c r="T39" s="42"/>
      <c r="U39" s="42"/>
      <c r="V39" s="347" t="str">
        <f t="shared" si="2"/>
        <v/>
      </c>
    </row>
    <row r="40" spans="1:22" ht="18" customHeight="1" thickBot="1">
      <c r="A40" s="78" t="s">
        <v>0</v>
      </c>
      <c r="B40" s="348">
        <f>SUM(B16:B39)</f>
        <v>0</v>
      </c>
      <c r="C40" s="349">
        <f t="shared" ref="C40:G40" si="6">SUM(C16:C39)</f>
        <v>0</v>
      </c>
      <c r="D40" s="349">
        <f t="shared" si="6"/>
        <v>0</v>
      </c>
      <c r="E40" s="349">
        <f t="shared" ref="E40" si="7">SUM(E16:E39)</f>
        <v>0</v>
      </c>
      <c r="F40" s="349">
        <f t="shared" si="6"/>
        <v>0</v>
      </c>
      <c r="G40" s="349">
        <f t="shared" si="6"/>
        <v>0</v>
      </c>
      <c r="H40" s="353">
        <f t="shared" si="0"/>
        <v>0</v>
      </c>
      <c r="I40" s="348">
        <f>SUM(I16:I39)</f>
        <v>0</v>
      </c>
      <c r="J40" s="349">
        <f t="shared" ref="J40:N40" si="8">SUM(J16:J39)</f>
        <v>0</v>
      </c>
      <c r="K40" s="349">
        <f t="shared" si="8"/>
        <v>0</v>
      </c>
      <c r="L40" s="349">
        <f t="shared" ref="L40" si="9">SUM(L16:L39)</f>
        <v>0</v>
      </c>
      <c r="M40" s="349">
        <f t="shared" si="8"/>
        <v>0</v>
      </c>
      <c r="N40" s="349">
        <f t="shared" si="8"/>
        <v>0</v>
      </c>
      <c r="O40" s="353">
        <f t="shared" si="1"/>
        <v>0</v>
      </c>
      <c r="P40" s="348">
        <f>SUM(P16:P39)</f>
        <v>0</v>
      </c>
      <c r="Q40" s="349">
        <f t="shared" ref="Q40:U40" si="10">SUM(Q16:Q39)</f>
        <v>0</v>
      </c>
      <c r="R40" s="349">
        <f t="shared" si="10"/>
        <v>0</v>
      </c>
      <c r="S40" s="349">
        <f t="shared" ref="S40" si="11">SUM(S16:S39)</f>
        <v>0</v>
      </c>
      <c r="T40" s="349">
        <f t="shared" si="10"/>
        <v>0</v>
      </c>
      <c r="U40" s="349">
        <f t="shared" si="10"/>
        <v>0</v>
      </c>
      <c r="V40" s="354">
        <f t="shared" si="2"/>
        <v>0</v>
      </c>
    </row>
    <row r="41" spans="1:22">
      <c r="B41" s="22" t="s">
        <v>405</v>
      </c>
      <c r="I41" s="22" t="s">
        <v>405</v>
      </c>
      <c r="P41" s="22" t="s">
        <v>405</v>
      </c>
    </row>
  </sheetData>
  <sheetProtection sheet="1" objects="1" scenarios="1"/>
  <conditionalFormatting sqref="C3:C4">
    <cfRule type="expression" dxfId="70" priority="12">
      <formula>C3="Data Not Entered On Set-Up Worksheet"</formula>
    </cfRule>
  </conditionalFormatting>
  <conditionalFormatting sqref="C9">
    <cfRule type="expression" dxfId="69" priority="11">
      <formula>C9="Data Not Entered On Set-Up Worksheet"</formula>
    </cfRule>
  </conditionalFormatting>
  <conditionalFormatting sqref="B12">
    <cfRule type="expression" dxfId="68" priority="10">
      <formula>B12="Data Not Entered On Set-Up Worksheet"</formula>
    </cfRule>
  </conditionalFormatting>
  <conditionalFormatting sqref="C11">
    <cfRule type="expression" dxfId="67" priority="9">
      <formula>C11="Data Not Entered On Set-Up Worksheet"</formula>
    </cfRule>
  </conditionalFormatting>
  <conditionalFormatting sqref="F11">
    <cfRule type="expression" dxfId="66" priority="7">
      <formula>F11="Data Not Entered On Set-Up Worksheet"</formula>
    </cfRule>
  </conditionalFormatting>
  <conditionalFormatting sqref="B16:G39 I16:N39 P16:U39">
    <cfRule type="expression" dxfId="65" priority="87">
      <formula>AND($A16&lt;&gt;"",B16="")</formula>
    </cfRule>
  </conditionalFormatting>
  <conditionalFormatting sqref="B16:G39">
    <cfRule type="expression" dxfId="64" priority="1">
      <formula>$A16="Other"</formula>
    </cfRule>
  </conditionalFormatting>
  <pageMargins left="0.5" right="0.5" top="0.5" bottom="0.5" header="0.3" footer="0.3"/>
  <pageSetup scale="29"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F4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46" width="20.7109375" style="22" customWidth="1"/>
    <col min="47" max="47" width="8.85546875" style="22" bestFit="1" customWidth="1"/>
    <col min="48" max="16384" width="9.140625" style="22"/>
  </cols>
  <sheetData>
    <row r="1" spans="1:58" ht="15" customHeight="1">
      <c r="A1" s="36" t="s">
        <v>28</v>
      </c>
      <c r="Q1" s="36" t="s">
        <v>332</v>
      </c>
      <c r="AF1" s="36" t="s">
        <v>332</v>
      </c>
    </row>
    <row r="2" spans="1:58" ht="15" customHeight="1">
      <c r="A2" s="36" t="s">
        <v>198</v>
      </c>
      <c r="Q2" s="36" t="s">
        <v>333</v>
      </c>
      <c r="AF2" s="36" t="s">
        <v>333</v>
      </c>
    </row>
    <row r="3" spans="1:58" ht="15" customHeight="1">
      <c r="A3" s="30" t="s">
        <v>196</v>
      </c>
      <c r="C3" s="147">
        <f>IF('Set-Up Worksheet'!$F$3="","Data Not Entered On Set-Up Worksheet",'Set-Up Worksheet'!$F$3)</f>
        <v>2017</v>
      </c>
      <c r="F3" s="38"/>
      <c r="I3" s="38"/>
      <c r="L3" s="38"/>
      <c r="O3" s="38"/>
      <c r="R3" s="147">
        <f>IF('Set-Up Worksheet'!$F$3="","Data Not Entered On Set-Up Worksheet",'Set-Up Worksheet'!$F$3)</f>
        <v>2017</v>
      </c>
      <c r="U3" s="38"/>
      <c r="X3" s="38"/>
      <c r="AA3" s="38"/>
      <c r="AD3" s="38"/>
      <c r="AG3" s="147">
        <f>IF('Set-Up Worksheet'!$F$3="","Data Not Entered On Set-Up Worksheet",'Set-Up Worksheet'!$F$3)</f>
        <v>2017</v>
      </c>
      <c r="AJ3" s="38"/>
      <c r="AM3" s="38"/>
      <c r="AP3" s="38"/>
      <c r="AS3" s="38"/>
    </row>
    <row r="4" spans="1:58" ht="15" customHeight="1">
      <c r="A4" s="30" t="s">
        <v>197</v>
      </c>
      <c r="C4" s="147" t="str">
        <f>IF('Set-Up Worksheet'!$F$4="","Data Not Entered On Set-Up Worksheet",'Set-Up Worksheet'!$F$4)</f>
        <v>1st Quarter</v>
      </c>
      <c r="F4" s="32"/>
      <c r="I4" s="32"/>
      <c r="L4" s="32"/>
      <c r="O4" s="32"/>
      <c r="R4" s="147" t="str">
        <f>IF('Set-Up Worksheet'!$F$4="","Data Not Entered On Set-Up Worksheet",'Set-Up Worksheet'!$F$4)</f>
        <v>1st Quarter</v>
      </c>
      <c r="U4" s="32"/>
      <c r="X4" s="32"/>
      <c r="AA4" s="32"/>
      <c r="AD4" s="32"/>
      <c r="AG4" s="147" t="str">
        <f>IF('Set-Up Worksheet'!$F$4="","Data Not Entered On Set-Up Worksheet",'Set-Up Worksheet'!$F$4)</f>
        <v>1st Quarter</v>
      </c>
      <c r="AJ4" s="32"/>
      <c r="AM4" s="32"/>
      <c r="AP4" s="32"/>
      <c r="AS4" s="32"/>
    </row>
    <row r="5" spans="1:58" ht="15" customHeight="1">
      <c r="A5" s="30"/>
      <c r="C5" s="32"/>
      <c r="F5" s="32"/>
      <c r="I5" s="32"/>
      <c r="L5" s="32"/>
      <c r="O5" s="32"/>
      <c r="R5" s="32"/>
      <c r="U5" s="32"/>
      <c r="X5" s="32"/>
      <c r="AA5" s="32"/>
      <c r="AD5" s="32"/>
      <c r="AG5" s="32"/>
      <c r="AJ5" s="32"/>
      <c r="AM5" s="32"/>
      <c r="AP5" s="32"/>
      <c r="AS5" s="32"/>
    </row>
    <row r="6" spans="1:58" ht="15" customHeight="1">
      <c r="A6" s="30" t="s">
        <v>339</v>
      </c>
      <c r="C6" s="32"/>
      <c r="F6" s="32"/>
      <c r="I6" s="32"/>
      <c r="L6" s="32"/>
      <c r="O6" s="32"/>
      <c r="R6" s="32"/>
      <c r="U6" s="32"/>
      <c r="X6" s="32"/>
      <c r="AA6" s="32"/>
      <c r="AD6" s="32"/>
      <c r="AG6" s="32"/>
      <c r="AJ6" s="32"/>
      <c r="AM6" s="32"/>
      <c r="AP6" s="32"/>
      <c r="AS6" s="32"/>
    </row>
    <row r="7" spans="1:58" ht="15" customHeight="1">
      <c r="A7" s="30" t="s">
        <v>425</v>
      </c>
      <c r="C7" s="32"/>
      <c r="F7" s="32"/>
      <c r="I7" s="32"/>
      <c r="L7" s="32"/>
      <c r="O7" s="32"/>
      <c r="Q7" s="30" t="s">
        <v>529</v>
      </c>
      <c r="R7" s="32"/>
      <c r="U7" s="32"/>
      <c r="X7" s="32"/>
      <c r="AA7" s="32"/>
      <c r="AD7" s="32"/>
      <c r="AF7" s="30" t="s">
        <v>529</v>
      </c>
      <c r="AG7" s="32"/>
      <c r="AJ7" s="32"/>
      <c r="AM7" s="32"/>
      <c r="AP7" s="32"/>
      <c r="AS7" s="32"/>
    </row>
    <row r="8" spans="1:58" ht="15" customHeight="1">
      <c r="A8" s="30"/>
      <c r="C8" s="32"/>
      <c r="F8" s="32"/>
      <c r="I8" s="32"/>
      <c r="L8" s="32"/>
      <c r="O8" s="32"/>
      <c r="R8" s="32"/>
      <c r="U8" s="32"/>
      <c r="X8" s="32"/>
      <c r="AA8" s="32"/>
      <c r="AD8" s="32"/>
      <c r="AG8" s="32"/>
      <c r="AJ8" s="32"/>
      <c r="AM8" s="32"/>
      <c r="AP8" s="32"/>
      <c r="AS8" s="32"/>
      <c r="AX8" s="54"/>
      <c r="AY8" s="54"/>
      <c r="AZ8" s="55"/>
      <c r="BA8" s="54"/>
      <c r="BB8" s="54"/>
      <c r="BC8" s="54"/>
      <c r="BD8" s="54"/>
      <c r="BE8" s="30"/>
      <c r="BF8" s="35"/>
    </row>
    <row r="9" spans="1:58" ht="15" customHeight="1">
      <c r="A9" s="30" t="s">
        <v>29</v>
      </c>
      <c r="C9" s="39" t="str">
        <f>IF('Set-Up Worksheet'!$E$7="","Data Not Entered On Set-Up Worksheet",'Set-Up Worksheet'!$E$7)</f>
        <v>Data Not Entered On Set-Up Worksheet</v>
      </c>
      <c r="I9" s="39"/>
      <c r="L9" s="39"/>
      <c r="O9" s="39"/>
      <c r="R9" s="39" t="str">
        <f>IF('Set-Up Worksheet'!$E$7="","Data Not Entered On Set-Up Worksheet",'Set-Up Worksheet'!$E$7)</f>
        <v>Data Not Entered On Set-Up Worksheet</v>
      </c>
      <c r="X9" s="39"/>
      <c r="AA9" s="39"/>
      <c r="AD9" s="39"/>
      <c r="AG9" s="39" t="str">
        <f>IF('Set-Up Worksheet'!$E$7="","Data Not Entered On Set-Up Worksheet",'Set-Up Worksheet'!$E$7)</f>
        <v>Data Not Entered On Set-Up Worksheet</v>
      </c>
      <c r="AM9" s="39"/>
      <c r="AP9" s="39"/>
      <c r="AS9" s="39"/>
    </row>
    <row r="10" spans="1:58" ht="15" customHeight="1">
      <c r="A10" s="30" t="s">
        <v>9</v>
      </c>
      <c r="C10" s="32" t="s">
        <v>10</v>
      </c>
      <c r="F10" s="32"/>
      <c r="I10" s="32"/>
      <c r="L10" s="32"/>
      <c r="O10" s="32"/>
      <c r="R10" s="32" t="s">
        <v>10</v>
      </c>
      <c r="U10" s="32"/>
      <c r="X10" s="32"/>
      <c r="AA10" s="32"/>
      <c r="AD10" s="32"/>
      <c r="AG10" s="32" t="s">
        <v>10</v>
      </c>
      <c r="AJ10" s="32"/>
      <c r="AM10" s="32"/>
      <c r="AP10" s="32"/>
      <c r="AS10" s="32"/>
    </row>
    <row r="11" spans="1:58" ht="15" customHeight="1">
      <c r="A11" s="30" t="s">
        <v>199</v>
      </c>
      <c r="C11" s="40" t="str">
        <f>IF($C$4="Data Not Entered On Set-Up Worksheet","Data Not Entered On Set-Up Worksheet",IF($C$4="1st Quarter",'Report Schedule'!$D$55,IF($C$4="2nd Quarter",'Report Schedule'!$E$55,IF($C$4="3rd Quarter",'Report Schedule'!$F$55,IF($C$4="4th Quarter",'Report Schedule'!$G$55,"")))))</f>
        <v>Jul 2015 - Jun 2016</v>
      </c>
      <c r="F11" s="79" t="s">
        <v>40</v>
      </c>
      <c r="I11" s="40"/>
      <c r="L11" s="40"/>
      <c r="O11" s="40"/>
      <c r="R11" s="40" t="str">
        <f>IF($C$4="Data Not Entered On Set-Up Worksheet","Data Not Entered On Set-Up Worksheet",IF($C$4="1st Quarter",'Report Schedule'!$D$55,IF($C$4="2nd Quarter",'Report Schedule'!$E$55,IF($C$4="3rd Quarter",'Report Schedule'!$F$55,IF($C$4="4th Quarter",'Report Schedule'!$G$55,"")))))</f>
        <v>Jul 2015 - Jun 2016</v>
      </c>
      <c r="U11" s="79" t="s">
        <v>40</v>
      </c>
      <c r="X11" s="40"/>
      <c r="AA11" s="40"/>
      <c r="AD11" s="40"/>
      <c r="AG11" s="40" t="str">
        <f>IF($C$4="Data Not Entered On Set-Up Worksheet","Data Not Entered On Set-Up Worksheet",IF($C$4="1st Quarter",'Report Schedule'!$D$55,IF($C$4="2nd Quarter",'Report Schedule'!$E$55,IF($C$4="3rd Quarter",'Report Schedule'!$F$55,IF($C$4="4th Quarter",'Report Schedule'!$G$55,"")))))</f>
        <v>Jul 2015 - Jun 2016</v>
      </c>
      <c r="AJ11" s="79" t="s">
        <v>40</v>
      </c>
      <c r="AM11" s="40"/>
      <c r="AP11" s="40"/>
      <c r="AS11" s="40"/>
    </row>
    <row r="12" spans="1:58" ht="15" customHeight="1">
      <c r="A12" s="30"/>
      <c r="C12" s="40"/>
      <c r="F12" s="79"/>
      <c r="I12" s="40"/>
      <c r="L12" s="40"/>
      <c r="O12" s="40"/>
      <c r="R12" s="40"/>
      <c r="U12" s="79"/>
      <c r="X12" s="40"/>
      <c r="AA12" s="40"/>
      <c r="AD12" s="40"/>
      <c r="AG12" s="40"/>
      <c r="AJ12" s="79"/>
      <c r="AM12" s="40"/>
      <c r="AP12" s="40"/>
      <c r="AS12" s="40"/>
    </row>
    <row r="13" spans="1:58" ht="15" customHeight="1" thickBot="1">
      <c r="B13" s="50"/>
      <c r="C13" s="50"/>
      <c r="D13" s="50"/>
      <c r="E13" s="50"/>
      <c r="F13" s="50"/>
      <c r="G13" s="50"/>
      <c r="H13" s="50"/>
      <c r="I13" s="50"/>
      <c r="J13" s="50"/>
      <c r="K13" s="50"/>
      <c r="L13" s="495"/>
      <c r="M13" s="495"/>
      <c r="N13" s="50"/>
      <c r="O13" s="495"/>
      <c r="P13" s="495"/>
      <c r="Q13" s="50"/>
      <c r="R13" s="50"/>
      <c r="S13" s="50"/>
      <c r="T13" s="50"/>
      <c r="U13" s="50"/>
      <c r="V13" s="50"/>
      <c r="W13" s="50"/>
      <c r="X13" s="50"/>
      <c r="Y13" s="50"/>
      <c r="Z13" s="50"/>
      <c r="AA13" s="495"/>
      <c r="AB13" s="495"/>
      <c r="AC13" s="50"/>
      <c r="AD13" s="495"/>
      <c r="AE13" s="495"/>
      <c r="AF13" s="50"/>
      <c r="AG13" s="50"/>
      <c r="AH13" s="50"/>
      <c r="AI13" s="50"/>
      <c r="AJ13" s="50"/>
      <c r="AK13" s="50"/>
      <c r="AL13" s="50"/>
      <c r="AM13" s="50"/>
      <c r="AN13" s="50"/>
      <c r="AO13" s="50"/>
      <c r="AP13" s="495"/>
      <c r="AQ13" s="495"/>
      <c r="AR13" s="50"/>
      <c r="AS13" s="495"/>
      <c r="AT13" s="495"/>
    </row>
    <row r="14" spans="1:58" s="35" customFormat="1" ht="30" customHeight="1" thickBot="1">
      <c r="A14" s="30"/>
      <c r="B14" s="387" t="s">
        <v>514</v>
      </c>
      <c r="C14" s="487"/>
      <c r="D14" s="488"/>
      <c r="E14" s="387" t="s">
        <v>515</v>
      </c>
      <c r="F14" s="487"/>
      <c r="G14" s="488"/>
      <c r="H14" s="387" t="s">
        <v>516</v>
      </c>
      <c r="I14" s="487"/>
      <c r="J14" s="488"/>
      <c r="K14" s="387" t="s">
        <v>517</v>
      </c>
      <c r="L14" s="487"/>
      <c r="M14" s="488"/>
      <c r="N14" s="387" t="s">
        <v>518</v>
      </c>
      <c r="O14" s="487"/>
      <c r="P14" s="488"/>
      <c r="Q14" s="489" t="s">
        <v>519</v>
      </c>
      <c r="R14" s="490"/>
      <c r="S14" s="491"/>
      <c r="T14" s="489" t="s">
        <v>520</v>
      </c>
      <c r="U14" s="490"/>
      <c r="V14" s="491"/>
      <c r="W14" s="489" t="s">
        <v>521</v>
      </c>
      <c r="X14" s="490"/>
      <c r="Y14" s="491"/>
      <c r="Z14" s="489" t="s">
        <v>522</v>
      </c>
      <c r="AA14" s="490"/>
      <c r="AB14" s="491"/>
      <c r="AC14" s="489" t="s">
        <v>523</v>
      </c>
      <c r="AD14" s="490"/>
      <c r="AE14" s="491"/>
      <c r="AF14" s="492" t="s">
        <v>524</v>
      </c>
      <c r="AG14" s="493"/>
      <c r="AH14" s="494"/>
      <c r="AI14" s="492" t="s">
        <v>525</v>
      </c>
      <c r="AJ14" s="493"/>
      <c r="AK14" s="494"/>
      <c r="AL14" s="492" t="s">
        <v>526</v>
      </c>
      <c r="AM14" s="493"/>
      <c r="AN14" s="494"/>
      <c r="AO14" s="492" t="s">
        <v>527</v>
      </c>
      <c r="AP14" s="493"/>
      <c r="AQ14" s="494"/>
      <c r="AR14" s="492" t="s">
        <v>528</v>
      </c>
      <c r="AS14" s="493"/>
      <c r="AT14" s="494"/>
    </row>
    <row r="15" spans="1:58" s="35" customFormat="1" ht="13.5" thickBot="1">
      <c r="A15" s="30"/>
      <c r="B15" s="56" t="s">
        <v>3</v>
      </c>
      <c r="C15" s="57" t="s">
        <v>4</v>
      </c>
      <c r="D15" s="58" t="s">
        <v>5</v>
      </c>
      <c r="E15" s="56" t="s">
        <v>3</v>
      </c>
      <c r="F15" s="57" t="s">
        <v>4</v>
      </c>
      <c r="G15" s="58" t="s">
        <v>5</v>
      </c>
      <c r="H15" s="56" t="s">
        <v>3</v>
      </c>
      <c r="I15" s="57" t="s">
        <v>4</v>
      </c>
      <c r="J15" s="58" t="s">
        <v>5</v>
      </c>
      <c r="K15" s="56" t="s">
        <v>3</v>
      </c>
      <c r="L15" s="57" t="s">
        <v>4</v>
      </c>
      <c r="M15" s="58" t="s">
        <v>5</v>
      </c>
      <c r="N15" s="56" t="s">
        <v>3</v>
      </c>
      <c r="O15" s="57" t="s">
        <v>4</v>
      </c>
      <c r="P15" s="58" t="s">
        <v>5</v>
      </c>
      <c r="Q15" s="56" t="s">
        <v>3</v>
      </c>
      <c r="R15" s="57" t="s">
        <v>4</v>
      </c>
      <c r="S15" s="58" t="s">
        <v>5</v>
      </c>
      <c r="T15" s="56" t="s">
        <v>3</v>
      </c>
      <c r="U15" s="57" t="s">
        <v>4</v>
      </c>
      <c r="V15" s="58" t="s">
        <v>5</v>
      </c>
      <c r="W15" s="56" t="s">
        <v>3</v>
      </c>
      <c r="X15" s="57" t="s">
        <v>4</v>
      </c>
      <c r="Y15" s="58" t="s">
        <v>5</v>
      </c>
      <c r="Z15" s="56" t="s">
        <v>3</v>
      </c>
      <c r="AA15" s="57" t="s">
        <v>4</v>
      </c>
      <c r="AB15" s="58" t="s">
        <v>5</v>
      </c>
      <c r="AC15" s="56" t="s">
        <v>3</v>
      </c>
      <c r="AD15" s="57" t="s">
        <v>4</v>
      </c>
      <c r="AE15" s="58" t="s">
        <v>5</v>
      </c>
      <c r="AF15" s="56" t="s">
        <v>3</v>
      </c>
      <c r="AG15" s="57" t="s">
        <v>4</v>
      </c>
      <c r="AH15" s="58" t="s">
        <v>5</v>
      </c>
      <c r="AI15" s="56" t="s">
        <v>3</v>
      </c>
      <c r="AJ15" s="57" t="s">
        <v>4</v>
      </c>
      <c r="AK15" s="58" t="s">
        <v>5</v>
      </c>
      <c r="AL15" s="56" t="s">
        <v>3</v>
      </c>
      <c r="AM15" s="57" t="s">
        <v>4</v>
      </c>
      <c r="AN15" s="58" t="s">
        <v>5</v>
      </c>
      <c r="AO15" s="56" t="s">
        <v>3</v>
      </c>
      <c r="AP15" s="57" t="s">
        <v>4</v>
      </c>
      <c r="AQ15" s="58" t="s">
        <v>5</v>
      </c>
      <c r="AR15" s="56" t="s">
        <v>3</v>
      </c>
      <c r="AS15" s="57" t="s">
        <v>4</v>
      </c>
      <c r="AT15" s="58" t="s">
        <v>5</v>
      </c>
      <c r="AU15" s="33"/>
      <c r="AV15" s="30"/>
      <c r="AW15" s="30"/>
      <c r="AX15" s="30"/>
      <c r="AY15" s="30"/>
      <c r="AZ15" s="30"/>
    </row>
    <row r="16" spans="1:58" ht="80.099999999999994" customHeight="1">
      <c r="A16" s="75" t="s">
        <v>43</v>
      </c>
      <c r="B16" s="239" t="s">
        <v>149</v>
      </c>
      <c r="C16" s="240" t="s">
        <v>510</v>
      </c>
      <c r="D16" s="241" t="s">
        <v>511</v>
      </c>
      <c r="E16" s="239" t="s">
        <v>149</v>
      </c>
      <c r="F16" s="240" t="s">
        <v>510</v>
      </c>
      <c r="G16" s="241" t="s">
        <v>511</v>
      </c>
      <c r="H16" s="239" t="s">
        <v>149</v>
      </c>
      <c r="I16" s="240" t="s">
        <v>510</v>
      </c>
      <c r="J16" s="241" t="s">
        <v>511</v>
      </c>
      <c r="K16" s="239" t="s">
        <v>149</v>
      </c>
      <c r="L16" s="240" t="s">
        <v>510</v>
      </c>
      <c r="M16" s="241" t="s">
        <v>511</v>
      </c>
      <c r="N16" s="239" t="s">
        <v>149</v>
      </c>
      <c r="O16" s="240" t="s">
        <v>510</v>
      </c>
      <c r="P16" s="241" t="s">
        <v>511</v>
      </c>
      <c r="Q16" s="484" t="s">
        <v>149</v>
      </c>
      <c r="R16" s="485" t="s">
        <v>512</v>
      </c>
      <c r="S16" s="486" t="s">
        <v>513</v>
      </c>
      <c r="T16" s="484" t="s">
        <v>149</v>
      </c>
      <c r="U16" s="485" t="s">
        <v>512</v>
      </c>
      <c r="V16" s="486" t="s">
        <v>513</v>
      </c>
      <c r="W16" s="484" t="s">
        <v>149</v>
      </c>
      <c r="X16" s="485" t="s">
        <v>512</v>
      </c>
      <c r="Y16" s="486" t="s">
        <v>513</v>
      </c>
      <c r="Z16" s="484" t="s">
        <v>149</v>
      </c>
      <c r="AA16" s="485" t="s">
        <v>512</v>
      </c>
      <c r="AB16" s="486" t="s">
        <v>513</v>
      </c>
      <c r="AC16" s="484" t="s">
        <v>149</v>
      </c>
      <c r="AD16" s="485" t="s">
        <v>512</v>
      </c>
      <c r="AE16" s="486" t="s">
        <v>513</v>
      </c>
      <c r="AF16" s="66" t="s">
        <v>149</v>
      </c>
      <c r="AG16" s="67" t="s">
        <v>150</v>
      </c>
      <c r="AH16" s="68" t="s">
        <v>148</v>
      </c>
      <c r="AI16" s="66" t="s">
        <v>149</v>
      </c>
      <c r="AJ16" s="67" t="s">
        <v>150</v>
      </c>
      <c r="AK16" s="68" t="s">
        <v>148</v>
      </c>
      <c r="AL16" s="66" t="s">
        <v>149</v>
      </c>
      <c r="AM16" s="67" t="s">
        <v>150</v>
      </c>
      <c r="AN16" s="68" t="s">
        <v>148</v>
      </c>
      <c r="AO16" s="66" t="s">
        <v>149</v>
      </c>
      <c r="AP16" s="67" t="s">
        <v>150</v>
      </c>
      <c r="AQ16" s="68" t="s">
        <v>148</v>
      </c>
      <c r="AR16" s="66" t="s">
        <v>149</v>
      </c>
      <c r="AS16" s="67" t="s">
        <v>150</v>
      </c>
      <c r="AT16" s="68" t="s">
        <v>148</v>
      </c>
    </row>
    <row r="17" spans="1:46" ht="18" customHeight="1">
      <c r="A17" s="76" t="str">
        <f>IF($C$9="Data Not Entered On Set-Up Worksheet","",IF(OR(VLOOKUP($C$9,County_Lookup_MC,2,FALSE)="",VLOOKUP($C$9,County_Lookup_MC,2,FALSE)=0),"",VLOOKUP($C$9,County_Lookup_MC,2,FALSE)))</f>
        <v/>
      </c>
      <c r="B17" s="69"/>
      <c r="C17" s="61"/>
      <c r="D17" s="70" t="str">
        <f>IF($A17="","",IF(C17=0,0,B17/C17))</f>
        <v/>
      </c>
      <c r="E17" s="69"/>
      <c r="F17" s="61"/>
      <c r="G17" s="70" t="str">
        <f>IF($A17="","",IF(F17=0,0,E17/F17))</f>
        <v/>
      </c>
      <c r="H17" s="69"/>
      <c r="I17" s="61"/>
      <c r="J17" s="70" t="str">
        <f>IF($A17="","",IF(I17=0,0,H17/I17))</f>
        <v/>
      </c>
      <c r="K17" s="74" t="str">
        <f>IF($A17="","",SUM(E17,H17))</f>
        <v/>
      </c>
      <c r="L17" s="322" t="str">
        <f>IF($A17="","",SUM(F17,I17))</f>
        <v/>
      </c>
      <c r="M17" s="70" t="str">
        <f>IF($A17="","",IF(L17=0,0,K17/L17))</f>
        <v/>
      </c>
      <c r="N17" s="74" t="str">
        <f t="shared" ref="N17:N40" si="0">IF($A17="","",SUM(B17,E17,H17))</f>
        <v/>
      </c>
      <c r="O17" s="62" t="str">
        <f t="shared" ref="O17:O40" si="1">IF($A17="","",SUM(C17,F17,I17))</f>
        <v/>
      </c>
      <c r="P17" s="70" t="str">
        <f>IF($A17="","",IF(O17=0,0,N17/O17))</f>
        <v/>
      </c>
      <c r="Q17" s="69"/>
      <c r="R17" s="61"/>
      <c r="S17" s="70" t="str">
        <f>IF($A17="","",IF(R17=0,0,Q17/R17))</f>
        <v/>
      </c>
      <c r="T17" s="69"/>
      <c r="U17" s="61"/>
      <c r="V17" s="70" t="str">
        <f>IF($A17="","",IF(U17=0,0,T17/U17))</f>
        <v/>
      </c>
      <c r="W17" s="69"/>
      <c r="X17" s="61"/>
      <c r="Y17" s="70" t="str">
        <f>IF($A17="","",IF(X17=0,0,W17/X17))</f>
        <v/>
      </c>
      <c r="Z17" s="74" t="str">
        <f>IF($A17="","",SUM(T17,W17))</f>
        <v/>
      </c>
      <c r="AA17" s="322" t="str">
        <f>IF($A17="","",SUM(U17,X17))</f>
        <v/>
      </c>
      <c r="AB17" s="70" t="str">
        <f>IF($A17="","",IF(AA17=0,0,Z17/AA17))</f>
        <v/>
      </c>
      <c r="AC17" s="74" t="str">
        <f t="shared" ref="AC17:AC40" si="2">IF($A17="","",SUM(Q17,T17,W17))</f>
        <v/>
      </c>
      <c r="AD17" s="62" t="str">
        <f t="shared" ref="AD17:AD40" si="3">IF($A17="","",SUM(R17,U17,X17))</f>
        <v/>
      </c>
      <c r="AE17" s="70" t="str">
        <f>IF($A17="","",IF(AD17=0,0,AC17/AD17))</f>
        <v/>
      </c>
      <c r="AF17" s="69"/>
      <c r="AG17" s="61"/>
      <c r="AH17" s="70" t="str">
        <f>IF($A17="","",IF(AG17=0,0,AF17/AG17))</f>
        <v/>
      </c>
      <c r="AI17" s="69"/>
      <c r="AJ17" s="61"/>
      <c r="AK17" s="70" t="str">
        <f>IF($A17="","",IF(AJ17=0,0,AI17/AJ17))</f>
        <v/>
      </c>
      <c r="AL17" s="69"/>
      <c r="AM17" s="61"/>
      <c r="AN17" s="70" t="str">
        <f>IF($A17="","",IF(AM17=0,0,AL17/AM17))</f>
        <v/>
      </c>
      <c r="AO17" s="74" t="str">
        <f>IF($A17="","",SUM(AI17,AL17))</f>
        <v/>
      </c>
      <c r="AP17" s="322" t="str">
        <f>IF($A17="","",SUM(AJ17,AM17))</f>
        <v/>
      </c>
      <c r="AQ17" s="70" t="str">
        <f>IF($A17="","",IF(AP17=0,0,AO17/AP17))</f>
        <v/>
      </c>
      <c r="AR17" s="74" t="str">
        <f t="shared" ref="AR17:AR40" si="4">IF($A17="","",SUM(AF17,AI17,AL17))</f>
        <v/>
      </c>
      <c r="AS17" s="62" t="str">
        <f t="shared" ref="AS17:AS40" si="5">IF($A17="","",SUM(AG17,AJ17,AM17))</f>
        <v/>
      </c>
      <c r="AT17" s="70" t="str">
        <f>IF($A17="","",IF(AS17=0,0,AR17/AS17))</f>
        <v/>
      </c>
    </row>
    <row r="18" spans="1:46" ht="18" customHeight="1">
      <c r="A18" s="77" t="str">
        <f>IF($C$9="Data Not Entered On Set-Up Worksheet","",IF(OR(VLOOKUP($C$9,County_Lookup_MC,3,FALSE)="",VLOOKUP($C$9,County_Lookup_MC,3,FALSE)=0),"",VLOOKUP($C$9,County_Lookup_MC,3,FALSE)))</f>
        <v/>
      </c>
      <c r="B18" s="69"/>
      <c r="C18" s="61"/>
      <c r="D18" s="70" t="str">
        <f t="shared" ref="D18:D40" si="6">IF($A18="","",IF(C18=0,0,B18/C18))</f>
        <v/>
      </c>
      <c r="E18" s="69"/>
      <c r="F18" s="61"/>
      <c r="G18" s="70" t="str">
        <f t="shared" ref="G18:G40" si="7">IF($A18="","",IF(F18=0,0,E18/F18))</f>
        <v/>
      </c>
      <c r="H18" s="69"/>
      <c r="I18" s="61"/>
      <c r="J18" s="70" t="str">
        <f t="shared" ref="J18:J40" si="8">IF($A18="","",IF(I18=0,0,H18/I18))</f>
        <v/>
      </c>
      <c r="K18" s="74" t="str">
        <f t="shared" ref="K18:K40" si="9">IF($A18="","",SUM(E18,H18))</f>
        <v/>
      </c>
      <c r="L18" s="62" t="str">
        <f t="shared" ref="L18:L40" si="10">IF($A18="","",SUM(F18,I18))</f>
        <v/>
      </c>
      <c r="M18" s="70" t="str">
        <f t="shared" ref="M18:M40" si="11">IF($A18="","",IF(L18=0,0,K18/L18))</f>
        <v/>
      </c>
      <c r="N18" s="74" t="str">
        <f t="shared" si="0"/>
        <v/>
      </c>
      <c r="O18" s="62" t="str">
        <f t="shared" si="1"/>
        <v/>
      </c>
      <c r="P18" s="70" t="str">
        <f t="shared" ref="P18:P40" si="12">IF($A18="","",IF(O18=0,0,N18/O18))</f>
        <v/>
      </c>
      <c r="Q18" s="69"/>
      <c r="R18" s="61"/>
      <c r="S18" s="70" t="str">
        <f t="shared" ref="S18:S40" si="13">IF($A18="","",IF(R18=0,0,Q18/R18))</f>
        <v/>
      </c>
      <c r="T18" s="69"/>
      <c r="U18" s="61"/>
      <c r="V18" s="70" t="str">
        <f t="shared" ref="V18:V40" si="14">IF($A18="","",IF(U18=0,0,T18/U18))</f>
        <v/>
      </c>
      <c r="W18" s="69"/>
      <c r="X18" s="61"/>
      <c r="Y18" s="70" t="str">
        <f t="shared" ref="Y18:Y40" si="15">IF($A18="","",IF(X18=0,0,W18/X18))</f>
        <v/>
      </c>
      <c r="Z18" s="74" t="str">
        <f t="shared" ref="Z18:Z40" si="16">IF($A18="","",SUM(T18,W18))</f>
        <v/>
      </c>
      <c r="AA18" s="62" t="str">
        <f t="shared" ref="AA18:AA40" si="17">IF($A18="","",SUM(U18,X18))</f>
        <v/>
      </c>
      <c r="AB18" s="70" t="str">
        <f t="shared" ref="AB18:AB40" si="18">IF($A18="","",IF(AA18=0,0,Z18/AA18))</f>
        <v/>
      </c>
      <c r="AC18" s="74" t="str">
        <f t="shared" si="2"/>
        <v/>
      </c>
      <c r="AD18" s="62" t="str">
        <f t="shared" si="3"/>
        <v/>
      </c>
      <c r="AE18" s="70" t="str">
        <f t="shared" ref="AE18:AE40" si="19">IF($A18="","",IF(AD18=0,0,AC18/AD18))</f>
        <v/>
      </c>
      <c r="AF18" s="69"/>
      <c r="AG18" s="61"/>
      <c r="AH18" s="70" t="str">
        <f t="shared" ref="AH18:AH40" si="20">IF($A18="","",IF(AG18=0,0,AF18/AG18))</f>
        <v/>
      </c>
      <c r="AI18" s="69"/>
      <c r="AJ18" s="61"/>
      <c r="AK18" s="70" t="str">
        <f t="shared" ref="AK18:AK40" si="21">IF($A18="","",IF(AJ18=0,0,AI18/AJ18))</f>
        <v/>
      </c>
      <c r="AL18" s="69"/>
      <c r="AM18" s="61"/>
      <c r="AN18" s="70" t="str">
        <f t="shared" ref="AN18:AN40" si="22">IF($A18="","",IF(AM18=0,0,AL18/AM18))</f>
        <v/>
      </c>
      <c r="AO18" s="74" t="str">
        <f t="shared" ref="AO18:AO40" si="23">IF($A18="","",SUM(AI18,AL18))</f>
        <v/>
      </c>
      <c r="AP18" s="62" t="str">
        <f t="shared" ref="AP18:AP40" si="24">IF($A18="","",SUM(AJ18,AM18))</f>
        <v/>
      </c>
      <c r="AQ18" s="70" t="str">
        <f t="shared" ref="AQ18:AQ40" si="25">IF($A18="","",IF(AP18=0,0,AO18/AP18))</f>
        <v/>
      </c>
      <c r="AR18" s="74" t="str">
        <f t="shared" si="4"/>
        <v/>
      </c>
      <c r="AS18" s="62" t="str">
        <f t="shared" si="5"/>
        <v/>
      </c>
      <c r="AT18" s="70" t="str">
        <f t="shared" ref="AT18:AT40" si="26">IF($A18="","",IF(AS18=0,0,AR18/AS18))</f>
        <v/>
      </c>
    </row>
    <row r="19" spans="1:46" ht="18" customHeight="1">
      <c r="A19" s="77" t="str">
        <f>IF($C$9="Data Not Entered On Set-Up Worksheet","",IF(OR(VLOOKUP($C$9,County_Lookup_MC,4,FALSE)="",VLOOKUP($C$9,County_Lookup_MC,4,FALSE)=0),"",VLOOKUP($C$9,County_Lookup_MC,4,FALSE)))</f>
        <v/>
      </c>
      <c r="B19" s="69"/>
      <c r="C19" s="61"/>
      <c r="D19" s="70" t="str">
        <f t="shared" si="6"/>
        <v/>
      </c>
      <c r="E19" s="69"/>
      <c r="F19" s="61"/>
      <c r="G19" s="70" t="str">
        <f t="shared" si="7"/>
        <v/>
      </c>
      <c r="H19" s="69"/>
      <c r="I19" s="61"/>
      <c r="J19" s="70" t="str">
        <f t="shared" si="8"/>
        <v/>
      </c>
      <c r="K19" s="74" t="str">
        <f t="shared" si="9"/>
        <v/>
      </c>
      <c r="L19" s="62" t="str">
        <f t="shared" si="10"/>
        <v/>
      </c>
      <c r="M19" s="70" t="str">
        <f t="shared" si="11"/>
        <v/>
      </c>
      <c r="N19" s="74" t="str">
        <f t="shared" si="0"/>
        <v/>
      </c>
      <c r="O19" s="62" t="str">
        <f t="shared" si="1"/>
        <v/>
      </c>
      <c r="P19" s="70" t="str">
        <f t="shared" si="12"/>
        <v/>
      </c>
      <c r="Q19" s="69"/>
      <c r="R19" s="61"/>
      <c r="S19" s="70" t="str">
        <f t="shared" si="13"/>
        <v/>
      </c>
      <c r="T19" s="69"/>
      <c r="U19" s="61"/>
      <c r="V19" s="70" t="str">
        <f t="shared" si="14"/>
        <v/>
      </c>
      <c r="W19" s="69"/>
      <c r="X19" s="61"/>
      <c r="Y19" s="70" t="str">
        <f t="shared" si="15"/>
        <v/>
      </c>
      <c r="Z19" s="74" t="str">
        <f t="shared" si="16"/>
        <v/>
      </c>
      <c r="AA19" s="62" t="str">
        <f t="shared" si="17"/>
        <v/>
      </c>
      <c r="AB19" s="70" t="str">
        <f t="shared" si="18"/>
        <v/>
      </c>
      <c r="AC19" s="74" t="str">
        <f t="shared" si="2"/>
        <v/>
      </c>
      <c r="AD19" s="62" t="str">
        <f t="shared" si="3"/>
        <v/>
      </c>
      <c r="AE19" s="70" t="str">
        <f t="shared" si="19"/>
        <v/>
      </c>
      <c r="AF19" s="69"/>
      <c r="AG19" s="61"/>
      <c r="AH19" s="70" t="str">
        <f t="shared" si="20"/>
        <v/>
      </c>
      <c r="AI19" s="69"/>
      <c r="AJ19" s="61"/>
      <c r="AK19" s="70" t="str">
        <f t="shared" si="21"/>
        <v/>
      </c>
      <c r="AL19" s="69"/>
      <c r="AM19" s="61"/>
      <c r="AN19" s="70" t="str">
        <f t="shared" si="22"/>
        <v/>
      </c>
      <c r="AO19" s="74" t="str">
        <f t="shared" si="23"/>
        <v/>
      </c>
      <c r="AP19" s="62" t="str">
        <f t="shared" si="24"/>
        <v/>
      </c>
      <c r="AQ19" s="70" t="str">
        <f t="shared" si="25"/>
        <v/>
      </c>
      <c r="AR19" s="74" t="str">
        <f t="shared" si="4"/>
        <v/>
      </c>
      <c r="AS19" s="62" t="str">
        <f t="shared" si="5"/>
        <v/>
      </c>
      <c r="AT19" s="70" t="str">
        <f t="shared" si="26"/>
        <v/>
      </c>
    </row>
    <row r="20" spans="1:46" ht="18" customHeight="1">
      <c r="A20" s="77" t="str">
        <f>IF($C$9="Data Not Entered On Set-Up Worksheet","",IF(OR(VLOOKUP($C$9,County_Lookup_MC,5,FALSE)="",VLOOKUP($C$9,County_Lookup_MC,5,FALSE)=0),"",VLOOKUP($C$9,County_Lookup_MC,5,FALSE)))</f>
        <v/>
      </c>
      <c r="B20" s="69"/>
      <c r="C20" s="61"/>
      <c r="D20" s="70" t="str">
        <f t="shared" si="6"/>
        <v/>
      </c>
      <c r="E20" s="69"/>
      <c r="F20" s="61"/>
      <c r="G20" s="70" t="str">
        <f t="shared" si="7"/>
        <v/>
      </c>
      <c r="H20" s="69"/>
      <c r="I20" s="61"/>
      <c r="J20" s="70" t="str">
        <f t="shared" si="8"/>
        <v/>
      </c>
      <c r="K20" s="74" t="str">
        <f t="shared" si="9"/>
        <v/>
      </c>
      <c r="L20" s="62" t="str">
        <f t="shared" si="10"/>
        <v/>
      </c>
      <c r="M20" s="70" t="str">
        <f t="shared" si="11"/>
        <v/>
      </c>
      <c r="N20" s="74" t="str">
        <f t="shared" si="0"/>
        <v/>
      </c>
      <c r="O20" s="62" t="str">
        <f t="shared" si="1"/>
        <v/>
      </c>
      <c r="P20" s="70" t="str">
        <f t="shared" si="12"/>
        <v/>
      </c>
      <c r="Q20" s="69"/>
      <c r="R20" s="61"/>
      <c r="S20" s="70" t="str">
        <f t="shared" si="13"/>
        <v/>
      </c>
      <c r="T20" s="69"/>
      <c r="U20" s="61"/>
      <c r="V20" s="70" t="str">
        <f t="shared" si="14"/>
        <v/>
      </c>
      <c r="W20" s="69"/>
      <c r="X20" s="61"/>
      <c r="Y20" s="70" t="str">
        <f t="shared" si="15"/>
        <v/>
      </c>
      <c r="Z20" s="74" t="str">
        <f t="shared" si="16"/>
        <v/>
      </c>
      <c r="AA20" s="62" t="str">
        <f t="shared" si="17"/>
        <v/>
      </c>
      <c r="AB20" s="70" t="str">
        <f t="shared" si="18"/>
        <v/>
      </c>
      <c r="AC20" s="74" t="str">
        <f t="shared" si="2"/>
        <v/>
      </c>
      <c r="AD20" s="62" t="str">
        <f t="shared" si="3"/>
        <v/>
      </c>
      <c r="AE20" s="70" t="str">
        <f t="shared" si="19"/>
        <v/>
      </c>
      <c r="AF20" s="69"/>
      <c r="AG20" s="61"/>
      <c r="AH20" s="70" t="str">
        <f t="shared" si="20"/>
        <v/>
      </c>
      <c r="AI20" s="69"/>
      <c r="AJ20" s="61"/>
      <c r="AK20" s="70" t="str">
        <f t="shared" si="21"/>
        <v/>
      </c>
      <c r="AL20" s="69"/>
      <c r="AM20" s="61"/>
      <c r="AN20" s="70" t="str">
        <f t="shared" si="22"/>
        <v/>
      </c>
      <c r="AO20" s="74" t="str">
        <f t="shared" si="23"/>
        <v/>
      </c>
      <c r="AP20" s="62" t="str">
        <f t="shared" si="24"/>
        <v/>
      </c>
      <c r="AQ20" s="70" t="str">
        <f t="shared" si="25"/>
        <v/>
      </c>
      <c r="AR20" s="74" t="str">
        <f t="shared" si="4"/>
        <v/>
      </c>
      <c r="AS20" s="62" t="str">
        <f t="shared" si="5"/>
        <v/>
      </c>
      <c r="AT20" s="70" t="str">
        <f t="shared" si="26"/>
        <v/>
      </c>
    </row>
    <row r="21" spans="1:46" ht="18" customHeight="1">
      <c r="A21" s="77" t="str">
        <f>IF($C$9="Data Not Entered On Set-Up Worksheet","",IF(OR(VLOOKUP($C$9,County_Lookup_MC,6,FALSE)="",VLOOKUP($C$9,County_Lookup_MC,6,FALSE)=0),"",VLOOKUP($C$9,County_Lookup_MC,6,FALSE)))</f>
        <v/>
      </c>
      <c r="B21" s="69"/>
      <c r="C21" s="61"/>
      <c r="D21" s="70" t="str">
        <f t="shared" si="6"/>
        <v/>
      </c>
      <c r="E21" s="69"/>
      <c r="F21" s="61"/>
      <c r="G21" s="70" t="str">
        <f t="shared" si="7"/>
        <v/>
      </c>
      <c r="H21" s="69"/>
      <c r="I21" s="61"/>
      <c r="J21" s="70" t="str">
        <f t="shared" si="8"/>
        <v/>
      </c>
      <c r="K21" s="74" t="str">
        <f t="shared" si="9"/>
        <v/>
      </c>
      <c r="L21" s="62" t="str">
        <f t="shared" si="10"/>
        <v/>
      </c>
      <c r="M21" s="70" t="str">
        <f t="shared" si="11"/>
        <v/>
      </c>
      <c r="N21" s="74" t="str">
        <f t="shared" si="0"/>
        <v/>
      </c>
      <c r="O21" s="62" t="str">
        <f t="shared" si="1"/>
        <v/>
      </c>
      <c r="P21" s="70" t="str">
        <f t="shared" si="12"/>
        <v/>
      </c>
      <c r="Q21" s="69"/>
      <c r="R21" s="61"/>
      <c r="S21" s="70" t="str">
        <f t="shared" si="13"/>
        <v/>
      </c>
      <c r="T21" s="69"/>
      <c r="U21" s="61"/>
      <c r="V21" s="70" t="str">
        <f t="shared" si="14"/>
        <v/>
      </c>
      <c r="W21" s="69"/>
      <c r="X21" s="61"/>
      <c r="Y21" s="70" t="str">
        <f t="shared" si="15"/>
        <v/>
      </c>
      <c r="Z21" s="74" t="str">
        <f t="shared" si="16"/>
        <v/>
      </c>
      <c r="AA21" s="62" t="str">
        <f t="shared" si="17"/>
        <v/>
      </c>
      <c r="AB21" s="70" t="str">
        <f t="shared" si="18"/>
        <v/>
      </c>
      <c r="AC21" s="74" t="str">
        <f t="shared" si="2"/>
        <v/>
      </c>
      <c r="AD21" s="62" t="str">
        <f t="shared" si="3"/>
        <v/>
      </c>
      <c r="AE21" s="70" t="str">
        <f t="shared" si="19"/>
        <v/>
      </c>
      <c r="AF21" s="69"/>
      <c r="AG21" s="61"/>
      <c r="AH21" s="70" t="str">
        <f t="shared" si="20"/>
        <v/>
      </c>
      <c r="AI21" s="69"/>
      <c r="AJ21" s="61"/>
      <c r="AK21" s="70" t="str">
        <f t="shared" si="21"/>
        <v/>
      </c>
      <c r="AL21" s="69"/>
      <c r="AM21" s="61"/>
      <c r="AN21" s="70" t="str">
        <f t="shared" si="22"/>
        <v/>
      </c>
      <c r="AO21" s="74" t="str">
        <f t="shared" si="23"/>
        <v/>
      </c>
      <c r="AP21" s="62" t="str">
        <f t="shared" si="24"/>
        <v/>
      </c>
      <c r="AQ21" s="70" t="str">
        <f t="shared" si="25"/>
        <v/>
      </c>
      <c r="AR21" s="74" t="str">
        <f t="shared" si="4"/>
        <v/>
      </c>
      <c r="AS21" s="62" t="str">
        <f t="shared" si="5"/>
        <v/>
      </c>
      <c r="AT21" s="70" t="str">
        <f t="shared" si="26"/>
        <v/>
      </c>
    </row>
    <row r="22" spans="1:46" ht="18" customHeight="1">
      <c r="A22" s="77" t="str">
        <f>IF($C$9="Data Not Entered On Set-Up Worksheet","",IF(OR(VLOOKUP($C$9,County_Lookup_MC,7,FALSE)="",VLOOKUP($C$9,County_Lookup_MC,7,FALSE)=0),"",VLOOKUP($C$9,County_Lookup_MC,7,FALSE)))</f>
        <v/>
      </c>
      <c r="B22" s="69"/>
      <c r="C22" s="61"/>
      <c r="D22" s="70" t="str">
        <f t="shared" si="6"/>
        <v/>
      </c>
      <c r="E22" s="69"/>
      <c r="F22" s="61"/>
      <c r="G22" s="70" t="str">
        <f t="shared" si="7"/>
        <v/>
      </c>
      <c r="H22" s="69"/>
      <c r="I22" s="61"/>
      <c r="J22" s="70" t="str">
        <f t="shared" si="8"/>
        <v/>
      </c>
      <c r="K22" s="74" t="str">
        <f t="shared" si="9"/>
        <v/>
      </c>
      <c r="L22" s="62" t="str">
        <f t="shared" si="10"/>
        <v/>
      </c>
      <c r="M22" s="70" t="str">
        <f t="shared" si="11"/>
        <v/>
      </c>
      <c r="N22" s="74" t="str">
        <f t="shared" si="0"/>
        <v/>
      </c>
      <c r="O22" s="62" t="str">
        <f t="shared" si="1"/>
        <v/>
      </c>
      <c r="P22" s="70" t="str">
        <f t="shared" si="12"/>
        <v/>
      </c>
      <c r="Q22" s="69"/>
      <c r="R22" s="61"/>
      <c r="S22" s="70" t="str">
        <f t="shared" si="13"/>
        <v/>
      </c>
      <c r="T22" s="69"/>
      <c r="U22" s="61"/>
      <c r="V22" s="70" t="str">
        <f t="shared" si="14"/>
        <v/>
      </c>
      <c r="W22" s="69"/>
      <c r="X22" s="61"/>
      <c r="Y22" s="70" t="str">
        <f t="shared" si="15"/>
        <v/>
      </c>
      <c r="Z22" s="74" t="str">
        <f t="shared" si="16"/>
        <v/>
      </c>
      <c r="AA22" s="62" t="str">
        <f t="shared" si="17"/>
        <v/>
      </c>
      <c r="AB22" s="70" t="str">
        <f t="shared" si="18"/>
        <v/>
      </c>
      <c r="AC22" s="74" t="str">
        <f t="shared" si="2"/>
        <v/>
      </c>
      <c r="AD22" s="62" t="str">
        <f t="shared" si="3"/>
        <v/>
      </c>
      <c r="AE22" s="70" t="str">
        <f t="shared" si="19"/>
        <v/>
      </c>
      <c r="AF22" s="69"/>
      <c r="AG22" s="61"/>
      <c r="AH22" s="70" t="str">
        <f t="shared" si="20"/>
        <v/>
      </c>
      <c r="AI22" s="69"/>
      <c r="AJ22" s="61"/>
      <c r="AK22" s="70" t="str">
        <f t="shared" si="21"/>
        <v/>
      </c>
      <c r="AL22" s="69"/>
      <c r="AM22" s="61"/>
      <c r="AN22" s="70" t="str">
        <f t="shared" si="22"/>
        <v/>
      </c>
      <c r="AO22" s="74" t="str">
        <f t="shared" si="23"/>
        <v/>
      </c>
      <c r="AP22" s="62" t="str">
        <f t="shared" si="24"/>
        <v/>
      </c>
      <c r="AQ22" s="70" t="str">
        <f t="shared" si="25"/>
        <v/>
      </c>
      <c r="AR22" s="74" t="str">
        <f t="shared" si="4"/>
        <v/>
      </c>
      <c r="AS22" s="62" t="str">
        <f t="shared" si="5"/>
        <v/>
      </c>
      <c r="AT22" s="70" t="str">
        <f t="shared" si="26"/>
        <v/>
      </c>
    </row>
    <row r="23" spans="1:46" ht="18" customHeight="1">
      <c r="A23" s="76" t="str">
        <f>IF($C$9="Data Not Entered On Set-Up Worksheet","",IF(OR(VLOOKUP($C$9,County_Lookup_MC,8,FALSE)="",VLOOKUP($C$9,County_Lookup_MC,8,FALSE)=0),"",VLOOKUP($C$9,County_Lookup_MC,8,FALSE)))</f>
        <v/>
      </c>
      <c r="B23" s="69"/>
      <c r="C23" s="61"/>
      <c r="D23" s="70" t="str">
        <f t="shared" si="6"/>
        <v/>
      </c>
      <c r="E23" s="69"/>
      <c r="F23" s="61"/>
      <c r="G23" s="70" t="str">
        <f t="shared" si="7"/>
        <v/>
      </c>
      <c r="H23" s="69"/>
      <c r="I23" s="61"/>
      <c r="J23" s="70" t="str">
        <f t="shared" si="8"/>
        <v/>
      </c>
      <c r="K23" s="74" t="str">
        <f t="shared" si="9"/>
        <v/>
      </c>
      <c r="L23" s="62" t="str">
        <f t="shared" si="10"/>
        <v/>
      </c>
      <c r="M23" s="70" t="str">
        <f t="shared" si="11"/>
        <v/>
      </c>
      <c r="N23" s="74" t="str">
        <f t="shared" si="0"/>
        <v/>
      </c>
      <c r="O23" s="62" t="str">
        <f t="shared" si="1"/>
        <v/>
      </c>
      <c r="P23" s="70" t="str">
        <f t="shared" si="12"/>
        <v/>
      </c>
      <c r="Q23" s="69"/>
      <c r="R23" s="61"/>
      <c r="S23" s="70" t="str">
        <f t="shared" si="13"/>
        <v/>
      </c>
      <c r="T23" s="69"/>
      <c r="U23" s="61"/>
      <c r="V23" s="70" t="str">
        <f t="shared" si="14"/>
        <v/>
      </c>
      <c r="W23" s="69"/>
      <c r="X23" s="61"/>
      <c r="Y23" s="70" t="str">
        <f t="shared" si="15"/>
        <v/>
      </c>
      <c r="Z23" s="74" t="str">
        <f t="shared" si="16"/>
        <v/>
      </c>
      <c r="AA23" s="62" t="str">
        <f t="shared" si="17"/>
        <v/>
      </c>
      <c r="AB23" s="70" t="str">
        <f t="shared" si="18"/>
        <v/>
      </c>
      <c r="AC23" s="74" t="str">
        <f t="shared" si="2"/>
        <v/>
      </c>
      <c r="AD23" s="62" t="str">
        <f t="shared" si="3"/>
        <v/>
      </c>
      <c r="AE23" s="70" t="str">
        <f t="shared" si="19"/>
        <v/>
      </c>
      <c r="AF23" s="69"/>
      <c r="AG23" s="61"/>
      <c r="AH23" s="70" t="str">
        <f t="shared" si="20"/>
        <v/>
      </c>
      <c r="AI23" s="69"/>
      <c r="AJ23" s="61"/>
      <c r="AK23" s="70" t="str">
        <f t="shared" si="21"/>
        <v/>
      </c>
      <c r="AL23" s="69"/>
      <c r="AM23" s="61"/>
      <c r="AN23" s="70" t="str">
        <f t="shared" si="22"/>
        <v/>
      </c>
      <c r="AO23" s="74" t="str">
        <f t="shared" si="23"/>
        <v/>
      </c>
      <c r="AP23" s="62" t="str">
        <f t="shared" si="24"/>
        <v/>
      </c>
      <c r="AQ23" s="70" t="str">
        <f t="shared" si="25"/>
        <v/>
      </c>
      <c r="AR23" s="74" t="str">
        <f t="shared" si="4"/>
        <v/>
      </c>
      <c r="AS23" s="62" t="str">
        <f t="shared" si="5"/>
        <v/>
      </c>
      <c r="AT23" s="70" t="str">
        <f t="shared" si="26"/>
        <v/>
      </c>
    </row>
    <row r="24" spans="1:46" ht="18" customHeight="1">
      <c r="A24" s="77" t="str">
        <f>IF($C$9="Data Not Entered On Set-Up Worksheet","",IF(OR(VLOOKUP($C$9,County_Lookup_MC,9,FALSE)="",VLOOKUP($C$9,County_Lookup_MC,9,FALSE)=0),"",VLOOKUP($C$9,County_Lookup_MC,9,FALSE)))</f>
        <v/>
      </c>
      <c r="B24" s="69"/>
      <c r="C24" s="61"/>
      <c r="D24" s="70" t="str">
        <f t="shared" si="6"/>
        <v/>
      </c>
      <c r="E24" s="69"/>
      <c r="F24" s="61"/>
      <c r="G24" s="70" t="str">
        <f t="shared" si="7"/>
        <v/>
      </c>
      <c r="H24" s="69"/>
      <c r="I24" s="61"/>
      <c r="J24" s="70" t="str">
        <f t="shared" si="8"/>
        <v/>
      </c>
      <c r="K24" s="74" t="str">
        <f t="shared" si="9"/>
        <v/>
      </c>
      <c r="L24" s="62" t="str">
        <f t="shared" si="10"/>
        <v/>
      </c>
      <c r="M24" s="70" t="str">
        <f t="shared" si="11"/>
        <v/>
      </c>
      <c r="N24" s="74" t="str">
        <f t="shared" si="0"/>
        <v/>
      </c>
      <c r="O24" s="62" t="str">
        <f t="shared" si="1"/>
        <v/>
      </c>
      <c r="P24" s="70" t="str">
        <f t="shared" si="12"/>
        <v/>
      </c>
      <c r="Q24" s="69"/>
      <c r="R24" s="61"/>
      <c r="S24" s="70" t="str">
        <f t="shared" si="13"/>
        <v/>
      </c>
      <c r="T24" s="69"/>
      <c r="U24" s="61"/>
      <c r="V24" s="70" t="str">
        <f t="shared" si="14"/>
        <v/>
      </c>
      <c r="W24" s="69"/>
      <c r="X24" s="61"/>
      <c r="Y24" s="70" t="str">
        <f t="shared" si="15"/>
        <v/>
      </c>
      <c r="Z24" s="74" t="str">
        <f t="shared" si="16"/>
        <v/>
      </c>
      <c r="AA24" s="62" t="str">
        <f t="shared" si="17"/>
        <v/>
      </c>
      <c r="AB24" s="70" t="str">
        <f t="shared" si="18"/>
        <v/>
      </c>
      <c r="AC24" s="74" t="str">
        <f t="shared" si="2"/>
        <v/>
      </c>
      <c r="AD24" s="62" t="str">
        <f t="shared" si="3"/>
        <v/>
      </c>
      <c r="AE24" s="70" t="str">
        <f t="shared" si="19"/>
        <v/>
      </c>
      <c r="AF24" s="69"/>
      <c r="AG24" s="61"/>
      <c r="AH24" s="70" t="str">
        <f t="shared" si="20"/>
        <v/>
      </c>
      <c r="AI24" s="69"/>
      <c r="AJ24" s="61"/>
      <c r="AK24" s="70" t="str">
        <f t="shared" si="21"/>
        <v/>
      </c>
      <c r="AL24" s="69"/>
      <c r="AM24" s="61"/>
      <c r="AN24" s="70" t="str">
        <f t="shared" si="22"/>
        <v/>
      </c>
      <c r="AO24" s="74" t="str">
        <f t="shared" si="23"/>
        <v/>
      </c>
      <c r="AP24" s="62" t="str">
        <f t="shared" si="24"/>
        <v/>
      </c>
      <c r="AQ24" s="70" t="str">
        <f t="shared" si="25"/>
        <v/>
      </c>
      <c r="AR24" s="74" t="str">
        <f t="shared" si="4"/>
        <v/>
      </c>
      <c r="AS24" s="62" t="str">
        <f t="shared" si="5"/>
        <v/>
      </c>
      <c r="AT24" s="70" t="str">
        <f t="shared" si="26"/>
        <v/>
      </c>
    </row>
    <row r="25" spans="1:46" ht="18" customHeight="1">
      <c r="A25" s="77" t="str">
        <f>IF($C$9="Data Not Entered On Set-Up Worksheet","",IF(OR(VLOOKUP($C$9,County_Lookup_MC,10,FALSE)="",VLOOKUP($C$9,County_Lookup_MC,10,FALSE)=0),"",VLOOKUP($C$9,County_Lookup_MC,10,FALSE)))</f>
        <v/>
      </c>
      <c r="B25" s="69"/>
      <c r="C25" s="61"/>
      <c r="D25" s="70" t="str">
        <f t="shared" si="6"/>
        <v/>
      </c>
      <c r="E25" s="69"/>
      <c r="F25" s="61"/>
      <c r="G25" s="70" t="str">
        <f t="shared" si="7"/>
        <v/>
      </c>
      <c r="H25" s="69"/>
      <c r="I25" s="61"/>
      <c r="J25" s="70" t="str">
        <f t="shared" si="8"/>
        <v/>
      </c>
      <c r="K25" s="74" t="str">
        <f t="shared" si="9"/>
        <v/>
      </c>
      <c r="L25" s="62" t="str">
        <f t="shared" si="10"/>
        <v/>
      </c>
      <c r="M25" s="70" t="str">
        <f t="shared" si="11"/>
        <v/>
      </c>
      <c r="N25" s="74" t="str">
        <f t="shared" si="0"/>
        <v/>
      </c>
      <c r="O25" s="62" t="str">
        <f t="shared" si="1"/>
        <v/>
      </c>
      <c r="P25" s="70" t="str">
        <f t="shared" si="12"/>
        <v/>
      </c>
      <c r="Q25" s="69"/>
      <c r="R25" s="61"/>
      <c r="S25" s="70" t="str">
        <f t="shared" si="13"/>
        <v/>
      </c>
      <c r="T25" s="69"/>
      <c r="U25" s="61"/>
      <c r="V25" s="70" t="str">
        <f t="shared" si="14"/>
        <v/>
      </c>
      <c r="W25" s="69"/>
      <c r="X25" s="61"/>
      <c r="Y25" s="70" t="str">
        <f t="shared" si="15"/>
        <v/>
      </c>
      <c r="Z25" s="74" t="str">
        <f t="shared" si="16"/>
        <v/>
      </c>
      <c r="AA25" s="62" t="str">
        <f t="shared" si="17"/>
        <v/>
      </c>
      <c r="AB25" s="70" t="str">
        <f t="shared" si="18"/>
        <v/>
      </c>
      <c r="AC25" s="74" t="str">
        <f t="shared" si="2"/>
        <v/>
      </c>
      <c r="AD25" s="62" t="str">
        <f t="shared" si="3"/>
        <v/>
      </c>
      <c r="AE25" s="70" t="str">
        <f t="shared" si="19"/>
        <v/>
      </c>
      <c r="AF25" s="69"/>
      <c r="AG25" s="61"/>
      <c r="AH25" s="70" t="str">
        <f t="shared" si="20"/>
        <v/>
      </c>
      <c r="AI25" s="69"/>
      <c r="AJ25" s="61"/>
      <c r="AK25" s="70" t="str">
        <f t="shared" si="21"/>
        <v/>
      </c>
      <c r="AL25" s="69"/>
      <c r="AM25" s="61"/>
      <c r="AN25" s="70" t="str">
        <f t="shared" si="22"/>
        <v/>
      </c>
      <c r="AO25" s="74" t="str">
        <f t="shared" si="23"/>
        <v/>
      </c>
      <c r="AP25" s="62" t="str">
        <f t="shared" si="24"/>
        <v/>
      </c>
      <c r="AQ25" s="70" t="str">
        <f t="shared" si="25"/>
        <v/>
      </c>
      <c r="AR25" s="74" t="str">
        <f t="shared" si="4"/>
        <v/>
      </c>
      <c r="AS25" s="62" t="str">
        <f t="shared" si="5"/>
        <v/>
      </c>
      <c r="AT25" s="70" t="str">
        <f t="shared" si="26"/>
        <v/>
      </c>
    </row>
    <row r="26" spans="1:46" ht="18" customHeight="1">
      <c r="A26" s="77" t="str">
        <f>IF($C$9="Data Not Entered On Set-Up Worksheet","",IF(OR(VLOOKUP($C$9,County_Lookup_MC,11,FALSE)="",VLOOKUP($C$9,County_Lookup_MC,11,FALSE)=0),"",VLOOKUP($C$9,County_Lookup_MC,11,FALSE)))</f>
        <v/>
      </c>
      <c r="B26" s="69"/>
      <c r="C26" s="61"/>
      <c r="D26" s="70" t="str">
        <f t="shared" si="6"/>
        <v/>
      </c>
      <c r="E26" s="69"/>
      <c r="F26" s="61"/>
      <c r="G26" s="70" t="str">
        <f t="shared" si="7"/>
        <v/>
      </c>
      <c r="H26" s="69"/>
      <c r="I26" s="61"/>
      <c r="J26" s="70" t="str">
        <f t="shared" si="8"/>
        <v/>
      </c>
      <c r="K26" s="74" t="str">
        <f t="shared" si="9"/>
        <v/>
      </c>
      <c r="L26" s="62" t="str">
        <f t="shared" si="10"/>
        <v/>
      </c>
      <c r="M26" s="70" t="str">
        <f t="shared" si="11"/>
        <v/>
      </c>
      <c r="N26" s="74" t="str">
        <f t="shared" si="0"/>
        <v/>
      </c>
      <c r="O26" s="62" t="str">
        <f t="shared" si="1"/>
        <v/>
      </c>
      <c r="P26" s="70" t="str">
        <f t="shared" si="12"/>
        <v/>
      </c>
      <c r="Q26" s="69"/>
      <c r="R26" s="61"/>
      <c r="S26" s="70" t="str">
        <f t="shared" si="13"/>
        <v/>
      </c>
      <c r="T26" s="69"/>
      <c r="U26" s="61"/>
      <c r="V26" s="70" t="str">
        <f t="shared" si="14"/>
        <v/>
      </c>
      <c r="W26" s="69"/>
      <c r="X26" s="61"/>
      <c r="Y26" s="70" t="str">
        <f t="shared" si="15"/>
        <v/>
      </c>
      <c r="Z26" s="74" t="str">
        <f t="shared" si="16"/>
        <v/>
      </c>
      <c r="AA26" s="62" t="str">
        <f t="shared" si="17"/>
        <v/>
      </c>
      <c r="AB26" s="70" t="str">
        <f t="shared" si="18"/>
        <v/>
      </c>
      <c r="AC26" s="74" t="str">
        <f t="shared" si="2"/>
        <v/>
      </c>
      <c r="AD26" s="62" t="str">
        <f t="shared" si="3"/>
        <v/>
      </c>
      <c r="AE26" s="70" t="str">
        <f t="shared" si="19"/>
        <v/>
      </c>
      <c r="AF26" s="69"/>
      <c r="AG26" s="61"/>
      <c r="AH26" s="70" t="str">
        <f t="shared" si="20"/>
        <v/>
      </c>
      <c r="AI26" s="69"/>
      <c r="AJ26" s="61"/>
      <c r="AK26" s="70" t="str">
        <f t="shared" si="21"/>
        <v/>
      </c>
      <c r="AL26" s="69"/>
      <c r="AM26" s="61"/>
      <c r="AN26" s="70" t="str">
        <f t="shared" si="22"/>
        <v/>
      </c>
      <c r="AO26" s="74" t="str">
        <f t="shared" si="23"/>
        <v/>
      </c>
      <c r="AP26" s="62" t="str">
        <f t="shared" si="24"/>
        <v/>
      </c>
      <c r="AQ26" s="70" t="str">
        <f t="shared" si="25"/>
        <v/>
      </c>
      <c r="AR26" s="74" t="str">
        <f t="shared" si="4"/>
        <v/>
      </c>
      <c r="AS26" s="62" t="str">
        <f t="shared" si="5"/>
        <v/>
      </c>
      <c r="AT26" s="70" t="str">
        <f t="shared" si="26"/>
        <v/>
      </c>
    </row>
    <row r="27" spans="1:46" ht="18" customHeight="1">
      <c r="A27" s="77" t="str">
        <f>IF($C$9="Data Not Entered On Set-Up Worksheet","",IF(OR(VLOOKUP($C$9,County_Lookup_MC,12,FALSE)="",VLOOKUP($C$9,County_Lookup_MC,12,FALSE)=0),"",VLOOKUP($C$9,County_Lookup_MC,12,FALSE)))</f>
        <v/>
      </c>
      <c r="B27" s="69"/>
      <c r="C27" s="61"/>
      <c r="D27" s="70" t="str">
        <f t="shared" si="6"/>
        <v/>
      </c>
      <c r="E27" s="69"/>
      <c r="F27" s="61"/>
      <c r="G27" s="70" t="str">
        <f t="shared" si="7"/>
        <v/>
      </c>
      <c r="H27" s="69"/>
      <c r="I27" s="61"/>
      <c r="J27" s="70" t="str">
        <f t="shared" si="8"/>
        <v/>
      </c>
      <c r="K27" s="74" t="str">
        <f t="shared" si="9"/>
        <v/>
      </c>
      <c r="L27" s="62" t="str">
        <f t="shared" si="10"/>
        <v/>
      </c>
      <c r="M27" s="70" t="str">
        <f t="shared" si="11"/>
        <v/>
      </c>
      <c r="N27" s="74" t="str">
        <f t="shared" si="0"/>
        <v/>
      </c>
      <c r="O27" s="62" t="str">
        <f t="shared" si="1"/>
        <v/>
      </c>
      <c r="P27" s="70" t="str">
        <f t="shared" si="12"/>
        <v/>
      </c>
      <c r="Q27" s="69"/>
      <c r="R27" s="61"/>
      <c r="S27" s="70" t="str">
        <f t="shared" si="13"/>
        <v/>
      </c>
      <c r="T27" s="69"/>
      <c r="U27" s="61"/>
      <c r="V27" s="70" t="str">
        <f t="shared" si="14"/>
        <v/>
      </c>
      <c r="W27" s="69"/>
      <c r="X27" s="61"/>
      <c r="Y27" s="70" t="str">
        <f t="shared" si="15"/>
        <v/>
      </c>
      <c r="Z27" s="74" t="str">
        <f t="shared" si="16"/>
        <v/>
      </c>
      <c r="AA27" s="62" t="str">
        <f t="shared" si="17"/>
        <v/>
      </c>
      <c r="AB27" s="70" t="str">
        <f t="shared" si="18"/>
        <v/>
      </c>
      <c r="AC27" s="74" t="str">
        <f t="shared" si="2"/>
        <v/>
      </c>
      <c r="AD27" s="62" t="str">
        <f t="shared" si="3"/>
        <v/>
      </c>
      <c r="AE27" s="70" t="str">
        <f t="shared" si="19"/>
        <v/>
      </c>
      <c r="AF27" s="69"/>
      <c r="AG27" s="61"/>
      <c r="AH27" s="70" t="str">
        <f t="shared" si="20"/>
        <v/>
      </c>
      <c r="AI27" s="69"/>
      <c r="AJ27" s="61"/>
      <c r="AK27" s="70" t="str">
        <f t="shared" si="21"/>
        <v/>
      </c>
      <c r="AL27" s="69"/>
      <c r="AM27" s="61"/>
      <c r="AN27" s="70" t="str">
        <f t="shared" si="22"/>
        <v/>
      </c>
      <c r="AO27" s="74" t="str">
        <f t="shared" si="23"/>
        <v/>
      </c>
      <c r="AP27" s="62" t="str">
        <f t="shared" si="24"/>
        <v/>
      </c>
      <c r="AQ27" s="70" t="str">
        <f t="shared" si="25"/>
        <v/>
      </c>
      <c r="AR27" s="74" t="str">
        <f t="shared" si="4"/>
        <v/>
      </c>
      <c r="AS27" s="62" t="str">
        <f t="shared" si="5"/>
        <v/>
      </c>
      <c r="AT27" s="70" t="str">
        <f t="shared" si="26"/>
        <v/>
      </c>
    </row>
    <row r="28" spans="1:46" ht="18" customHeight="1">
      <c r="A28" s="77" t="str">
        <f>IF($C$9="Data Not Entered On Set-Up Worksheet","",IF(OR(VLOOKUP($C$9,County_Lookup_MC,13,FALSE)="",VLOOKUP($C$9,County_Lookup_MC,13,FALSE)=0),"",VLOOKUP($C$9,County_Lookup_MC,13,FALSE)))</f>
        <v/>
      </c>
      <c r="B28" s="69"/>
      <c r="C28" s="61"/>
      <c r="D28" s="70" t="str">
        <f t="shared" si="6"/>
        <v/>
      </c>
      <c r="E28" s="69"/>
      <c r="F28" s="61"/>
      <c r="G28" s="70" t="str">
        <f t="shared" si="7"/>
        <v/>
      </c>
      <c r="H28" s="69"/>
      <c r="I28" s="61"/>
      <c r="J28" s="70" t="str">
        <f t="shared" si="8"/>
        <v/>
      </c>
      <c r="K28" s="74" t="str">
        <f t="shared" si="9"/>
        <v/>
      </c>
      <c r="L28" s="62" t="str">
        <f t="shared" si="10"/>
        <v/>
      </c>
      <c r="M28" s="70" t="str">
        <f t="shared" si="11"/>
        <v/>
      </c>
      <c r="N28" s="74" t="str">
        <f t="shared" si="0"/>
        <v/>
      </c>
      <c r="O28" s="62" t="str">
        <f t="shared" si="1"/>
        <v/>
      </c>
      <c r="P28" s="70" t="str">
        <f t="shared" si="12"/>
        <v/>
      </c>
      <c r="Q28" s="69"/>
      <c r="R28" s="61"/>
      <c r="S28" s="70" t="str">
        <f t="shared" si="13"/>
        <v/>
      </c>
      <c r="T28" s="69"/>
      <c r="U28" s="61"/>
      <c r="V28" s="70" t="str">
        <f t="shared" si="14"/>
        <v/>
      </c>
      <c r="W28" s="69"/>
      <c r="X28" s="61"/>
      <c r="Y28" s="70" t="str">
        <f t="shared" si="15"/>
        <v/>
      </c>
      <c r="Z28" s="74" t="str">
        <f t="shared" si="16"/>
        <v/>
      </c>
      <c r="AA28" s="62" t="str">
        <f t="shared" si="17"/>
        <v/>
      </c>
      <c r="AB28" s="70" t="str">
        <f t="shared" si="18"/>
        <v/>
      </c>
      <c r="AC28" s="74" t="str">
        <f t="shared" si="2"/>
        <v/>
      </c>
      <c r="AD28" s="62" t="str">
        <f t="shared" si="3"/>
        <v/>
      </c>
      <c r="AE28" s="70" t="str">
        <f t="shared" si="19"/>
        <v/>
      </c>
      <c r="AF28" s="69"/>
      <c r="AG28" s="61"/>
      <c r="AH28" s="70" t="str">
        <f t="shared" si="20"/>
        <v/>
      </c>
      <c r="AI28" s="69"/>
      <c r="AJ28" s="61"/>
      <c r="AK28" s="70" t="str">
        <f t="shared" si="21"/>
        <v/>
      </c>
      <c r="AL28" s="69"/>
      <c r="AM28" s="61"/>
      <c r="AN28" s="70" t="str">
        <f t="shared" si="22"/>
        <v/>
      </c>
      <c r="AO28" s="74" t="str">
        <f t="shared" si="23"/>
        <v/>
      </c>
      <c r="AP28" s="62" t="str">
        <f t="shared" si="24"/>
        <v/>
      </c>
      <c r="AQ28" s="70" t="str">
        <f t="shared" si="25"/>
        <v/>
      </c>
      <c r="AR28" s="74" t="str">
        <f t="shared" si="4"/>
        <v/>
      </c>
      <c r="AS28" s="62" t="str">
        <f t="shared" si="5"/>
        <v/>
      </c>
      <c r="AT28" s="70" t="str">
        <f t="shared" si="26"/>
        <v/>
      </c>
    </row>
    <row r="29" spans="1:46" ht="18" customHeight="1">
      <c r="A29" s="77" t="str">
        <f>IF($C$9="Data Not Entered On Set-Up Worksheet","",IF(OR(VLOOKUP($C$9,County_Lookup_MC,14,FALSE)="",VLOOKUP($C$9,County_Lookup_MC,14,FALSE)=0),"",VLOOKUP($C$9,County_Lookup_MC,14,FALSE)))</f>
        <v/>
      </c>
      <c r="B29" s="69"/>
      <c r="C29" s="61"/>
      <c r="D29" s="70" t="str">
        <f t="shared" si="6"/>
        <v/>
      </c>
      <c r="E29" s="69"/>
      <c r="F29" s="61"/>
      <c r="G29" s="70" t="str">
        <f t="shared" si="7"/>
        <v/>
      </c>
      <c r="H29" s="69"/>
      <c r="I29" s="61"/>
      <c r="J29" s="70" t="str">
        <f t="shared" si="8"/>
        <v/>
      </c>
      <c r="K29" s="74" t="str">
        <f t="shared" si="9"/>
        <v/>
      </c>
      <c r="L29" s="62" t="str">
        <f t="shared" si="10"/>
        <v/>
      </c>
      <c r="M29" s="70" t="str">
        <f t="shared" si="11"/>
        <v/>
      </c>
      <c r="N29" s="74" t="str">
        <f t="shared" si="0"/>
        <v/>
      </c>
      <c r="O29" s="62" t="str">
        <f t="shared" si="1"/>
        <v/>
      </c>
      <c r="P29" s="70" t="str">
        <f t="shared" si="12"/>
        <v/>
      </c>
      <c r="Q29" s="69"/>
      <c r="R29" s="61"/>
      <c r="S29" s="70" t="str">
        <f t="shared" si="13"/>
        <v/>
      </c>
      <c r="T29" s="69"/>
      <c r="U29" s="61"/>
      <c r="V29" s="70" t="str">
        <f t="shared" si="14"/>
        <v/>
      </c>
      <c r="W29" s="69"/>
      <c r="X29" s="61"/>
      <c r="Y29" s="70" t="str">
        <f t="shared" si="15"/>
        <v/>
      </c>
      <c r="Z29" s="74" t="str">
        <f t="shared" si="16"/>
        <v/>
      </c>
      <c r="AA29" s="62" t="str">
        <f t="shared" si="17"/>
        <v/>
      </c>
      <c r="AB29" s="70" t="str">
        <f t="shared" si="18"/>
        <v/>
      </c>
      <c r="AC29" s="74" t="str">
        <f t="shared" si="2"/>
        <v/>
      </c>
      <c r="AD29" s="62" t="str">
        <f t="shared" si="3"/>
        <v/>
      </c>
      <c r="AE29" s="70" t="str">
        <f t="shared" si="19"/>
        <v/>
      </c>
      <c r="AF29" s="69"/>
      <c r="AG29" s="61"/>
      <c r="AH29" s="70" t="str">
        <f t="shared" si="20"/>
        <v/>
      </c>
      <c r="AI29" s="69"/>
      <c r="AJ29" s="61"/>
      <c r="AK29" s="70" t="str">
        <f t="shared" si="21"/>
        <v/>
      </c>
      <c r="AL29" s="69"/>
      <c r="AM29" s="61"/>
      <c r="AN29" s="70" t="str">
        <f t="shared" si="22"/>
        <v/>
      </c>
      <c r="AO29" s="74" t="str">
        <f t="shared" si="23"/>
        <v/>
      </c>
      <c r="AP29" s="62" t="str">
        <f t="shared" si="24"/>
        <v/>
      </c>
      <c r="AQ29" s="70" t="str">
        <f t="shared" si="25"/>
        <v/>
      </c>
      <c r="AR29" s="74" t="str">
        <f t="shared" si="4"/>
        <v/>
      </c>
      <c r="AS29" s="62" t="str">
        <f t="shared" si="5"/>
        <v/>
      </c>
      <c r="AT29" s="70" t="str">
        <f t="shared" si="26"/>
        <v/>
      </c>
    </row>
    <row r="30" spans="1:46" ht="18" customHeight="1">
      <c r="A30" s="76" t="str">
        <f>IF($C$9="Data Not Entered On Set-Up Worksheet","",IF(OR(VLOOKUP($C$9,County_Lookup_MC,15,FALSE)="",VLOOKUP($C$9,County_Lookup_MC,15,FALSE)=0),"",VLOOKUP($C$9,County_Lookup_MC,15,FALSE)))</f>
        <v/>
      </c>
      <c r="B30" s="69"/>
      <c r="C30" s="61"/>
      <c r="D30" s="70" t="str">
        <f t="shared" si="6"/>
        <v/>
      </c>
      <c r="E30" s="69"/>
      <c r="F30" s="61"/>
      <c r="G30" s="70" t="str">
        <f t="shared" si="7"/>
        <v/>
      </c>
      <c r="H30" s="69"/>
      <c r="I30" s="61"/>
      <c r="J30" s="70" t="str">
        <f t="shared" si="8"/>
        <v/>
      </c>
      <c r="K30" s="74" t="str">
        <f t="shared" si="9"/>
        <v/>
      </c>
      <c r="L30" s="62" t="str">
        <f t="shared" si="10"/>
        <v/>
      </c>
      <c r="M30" s="70" t="str">
        <f t="shared" si="11"/>
        <v/>
      </c>
      <c r="N30" s="74" t="str">
        <f t="shared" si="0"/>
        <v/>
      </c>
      <c r="O30" s="62" t="str">
        <f t="shared" si="1"/>
        <v/>
      </c>
      <c r="P30" s="70" t="str">
        <f t="shared" si="12"/>
        <v/>
      </c>
      <c r="Q30" s="69"/>
      <c r="R30" s="61"/>
      <c r="S30" s="70" t="str">
        <f t="shared" si="13"/>
        <v/>
      </c>
      <c r="T30" s="69"/>
      <c r="U30" s="61"/>
      <c r="V30" s="70" t="str">
        <f t="shared" si="14"/>
        <v/>
      </c>
      <c r="W30" s="69"/>
      <c r="X30" s="61"/>
      <c r="Y30" s="70" t="str">
        <f t="shared" si="15"/>
        <v/>
      </c>
      <c r="Z30" s="74" t="str">
        <f t="shared" si="16"/>
        <v/>
      </c>
      <c r="AA30" s="62" t="str">
        <f t="shared" si="17"/>
        <v/>
      </c>
      <c r="AB30" s="70" t="str">
        <f t="shared" si="18"/>
        <v/>
      </c>
      <c r="AC30" s="74" t="str">
        <f t="shared" si="2"/>
        <v/>
      </c>
      <c r="AD30" s="62" t="str">
        <f t="shared" si="3"/>
        <v/>
      </c>
      <c r="AE30" s="70" t="str">
        <f t="shared" si="19"/>
        <v/>
      </c>
      <c r="AF30" s="69"/>
      <c r="AG30" s="61"/>
      <c r="AH30" s="70" t="str">
        <f t="shared" si="20"/>
        <v/>
      </c>
      <c r="AI30" s="69"/>
      <c r="AJ30" s="61"/>
      <c r="AK30" s="70" t="str">
        <f t="shared" si="21"/>
        <v/>
      </c>
      <c r="AL30" s="69"/>
      <c r="AM30" s="61"/>
      <c r="AN30" s="70" t="str">
        <f t="shared" si="22"/>
        <v/>
      </c>
      <c r="AO30" s="74" t="str">
        <f t="shared" si="23"/>
        <v/>
      </c>
      <c r="AP30" s="62" t="str">
        <f t="shared" si="24"/>
        <v/>
      </c>
      <c r="AQ30" s="70" t="str">
        <f t="shared" si="25"/>
        <v/>
      </c>
      <c r="AR30" s="74" t="str">
        <f t="shared" si="4"/>
        <v/>
      </c>
      <c r="AS30" s="62" t="str">
        <f t="shared" si="5"/>
        <v/>
      </c>
      <c r="AT30" s="70" t="str">
        <f t="shared" si="26"/>
        <v/>
      </c>
    </row>
    <row r="31" spans="1:46" ht="18" customHeight="1">
      <c r="A31" s="77" t="str">
        <f>IF($C$9="Data Not Entered On Set-Up Worksheet","",IF(OR(VLOOKUP($C$9,County_Lookup_MC,16,FALSE)="",VLOOKUP($C$9,County_Lookup_MC,16,FALSE)=0),"",VLOOKUP($C$9,County_Lookup_MC,16,FALSE)))</f>
        <v/>
      </c>
      <c r="B31" s="69"/>
      <c r="C31" s="61"/>
      <c r="D31" s="70" t="str">
        <f t="shared" si="6"/>
        <v/>
      </c>
      <c r="E31" s="69"/>
      <c r="F31" s="61"/>
      <c r="G31" s="70" t="str">
        <f t="shared" si="7"/>
        <v/>
      </c>
      <c r="H31" s="69"/>
      <c r="I31" s="61"/>
      <c r="J31" s="70" t="str">
        <f t="shared" si="8"/>
        <v/>
      </c>
      <c r="K31" s="74" t="str">
        <f t="shared" si="9"/>
        <v/>
      </c>
      <c r="L31" s="62" t="str">
        <f t="shared" si="10"/>
        <v/>
      </c>
      <c r="M31" s="70" t="str">
        <f t="shared" si="11"/>
        <v/>
      </c>
      <c r="N31" s="74" t="str">
        <f t="shared" si="0"/>
        <v/>
      </c>
      <c r="O31" s="62" t="str">
        <f t="shared" si="1"/>
        <v/>
      </c>
      <c r="P31" s="70" t="str">
        <f t="shared" si="12"/>
        <v/>
      </c>
      <c r="Q31" s="69"/>
      <c r="R31" s="61"/>
      <c r="S31" s="70" t="str">
        <f t="shared" si="13"/>
        <v/>
      </c>
      <c r="T31" s="69"/>
      <c r="U31" s="61"/>
      <c r="V31" s="70" t="str">
        <f t="shared" si="14"/>
        <v/>
      </c>
      <c r="W31" s="69"/>
      <c r="X31" s="61"/>
      <c r="Y31" s="70" t="str">
        <f t="shared" si="15"/>
        <v/>
      </c>
      <c r="Z31" s="74" t="str">
        <f t="shared" si="16"/>
        <v/>
      </c>
      <c r="AA31" s="62" t="str">
        <f t="shared" si="17"/>
        <v/>
      </c>
      <c r="AB31" s="70" t="str">
        <f t="shared" si="18"/>
        <v/>
      </c>
      <c r="AC31" s="74" t="str">
        <f t="shared" si="2"/>
        <v/>
      </c>
      <c r="AD31" s="62" t="str">
        <f t="shared" si="3"/>
        <v/>
      </c>
      <c r="AE31" s="70" t="str">
        <f t="shared" si="19"/>
        <v/>
      </c>
      <c r="AF31" s="69"/>
      <c r="AG31" s="61"/>
      <c r="AH31" s="70" t="str">
        <f t="shared" si="20"/>
        <v/>
      </c>
      <c r="AI31" s="69"/>
      <c r="AJ31" s="61"/>
      <c r="AK31" s="70" t="str">
        <f t="shared" si="21"/>
        <v/>
      </c>
      <c r="AL31" s="69"/>
      <c r="AM31" s="61"/>
      <c r="AN31" s="70" t="str">
        <f t="shared" si="22"/>
        <v/>
      </c>
      <c r="AO31" s="74" t="str">
        <f t="shared" si="23"/>
        <v/>
      </c>
      <c r="AP31" s="62" t="str">
        <f t="shared" si="24"/>
        <v/>
      </c>
      <c r="AQ31" s="70" t="str">
        <f t="shared" si="25"/>
        <v/>
      </c>
      <c r="AR31" s="74" t="str">
        <f t="shared" si="4"/>
        <v/>
      </c>
      <c r="AS31" s="62" t="str">
        <f t="shared" si="5"/>
        <v/>
      </c>
      <c r="AT31" s="70" t="str">
        <f t="shared" si="26"/>
        <v/>
      </c>
    </row>
    <row r="32" spans="1:46" ht="18" customHeight="1">
      <c r="A32" s="77" t="str">
        <f>IF($C$9="Data Not Entered On Set-Up Worksheet","",IF(OR(VLOOKUP($C$9,County_Lookup_MC,17,FALSE)="",VLOOKUP($C$9,County_Lookup_MC,17,FALSE)=0),"",VLOOKUP($C$9,County_Lookup_MC,17,FALSE)))</f>
        <v/>
      </c>
      <c r="B32" s="69"/>
      <c r="C32" s="61"/>
      <c r="D32" s="70" t="str">
        <f t="shared" si="6"/>
        <v/>
      </c>
      <c r="E32" s="69"/>
      <c r="F32" s="61"/>
      <c r="G32" s="70" t="str">
        <f t="shared" si="7"/>
        <v/>
      </c>
      <c r="H32" s="69"/>
      <c r="I32" s="61"/>
      <c r="J32" s="70" t="str">
        <f t="shared" si="8"/>
        <v/>
      </c>
      <c r="K32" s="74" t="str">
        <f t="shared" si="9"/>
        <v/>
      </c>
      <c r="L32" s="62" t="str">
        <f t="shared" si="10"/>
        <v/>
      </c>
      <c r="M32" s="70" t="str">
        <f t="shared" si="11"/>
        <v/>
      </c>
      <c r="N32" s="74" t="str">
        <f t="shared" si="0"/>
        <v/>
      </c>
      <c r="O32" s="62" t="str">
        <f t="shared" si="1"/>
        <v/>
      </c>
      <c r="P32" s="70" t="str">
        <f t="shared" si="12"/>
        <v/>
      </c>
      <c r="Q32" s="69"/>
      <c r="R32" s="61"/>
      <c r="S32" s="70" t="str">
        <f t="shared" si="13"/>
        <v/>
      </c>
      <c r="T32" s="69"/>
      <c r="U32" s="61"/>
      <c r="V32" s="70" t="str">
        <f t="shared" si="14"/>
        <v/>
      </c>
      <c r="W32" s="69"/>
      <c r="X32" s="61"/>
      <c r="Y32" s="70" t="str">
        <f t="shared" si="15"/>
        <v/>
      </c>
      <c r="Z32" s="74" t="str">
        <f t="shared" si="16"/>
        <v/>
      </c>
      <c r="AA32" s="62" t="str">
        <f t="shared" si="17"/>
        <v/>
      </c>
      <c r="AB32" s="70" t="str">
        <f t="shared" si="18"/>
        <v/>
      </c>
      <c r="AC32" s="74" t="str">
        <f t="shared" si="2"/>
        <v/>
      </c>
      <c r="AD32" s="62" t="str">
        <f t="shared" si="3"/>
        <v/>
      </c>
      <c r="AE32" s="70" t="str">
        <f t="shared" si="19"/>
        <v/>
      </c>
      <c r="AF32" s="69"/>
      <c r="AG32" s="61"/>
      <c r="AH32" s="70" t="str">
        <f t="shared" si="20"/>
        <v/>
      </c>
      <c r="AI32" s="69"/>
      <c r="AJ32" s="61"/>
      <c r="AK32" s="70" t="str">
        <f t="shared" si="21"/>
        <v/>
      </c>
      <c r="AL32" s="69"/>
      <c r="AM32" s="61"/>
      <c r="AN32" s="70" t="str">
        <f t="shared" si="22"/>
        <v/>
      </c>
      <c r="AO32" s="74" t="str">
        <f t="shared" si="23"/>
        <v/>
      </c>
      <c r="AP32" s="62" t="str">
        <f t="shared" si="24"/>
        <v/>
      </c>
      <c r="AQ32" s="70" t="str">
        <f t="shared" si="25"/>
        <v/>
      </c>
      <c r="AR32" s="74" t="str">
        <f t="shared" si="4"/>
        <v/>
      </c>
      <c r="AS32" s="62" t="str">
        <f t="shared" si="5"/>
        <v/>
      </c>
      <c r="AT32" s="70" t="str">
        <f t="shared" si="26"/>
        <v/>
      </c>
    </row>
    <row r="33" spans="1:46" ht="18" customHeight="1">
      <c r="A33" s="77" t="str">
        <f>IF($C$9="Data Not Entered On Set-Up Worksheet","",IF(OR(VLOOKUP($C$9,County_Lookup_MC,18,FALSE)="",VLOOKUP($C$9,County_Lookup_MC,18,FALSE)=0),"",VLOOKUP($C$9,County_Lookup_MC,18,FALSE)))</f>
        <v/>
      </c>
      <c r="B33" s="69"/>
      <c r="C33" s="61"/>
      <c r="D33" s="70" t="str">
        <f t="shared" si="6"/>
        <v/>
      </c>
      <c r="E33" s="69"/>
      <c r="F33" s="61"/>
      <c r="G33" s="70" t="str">
        <f t="shared" si="7"/>
        <v/>
      </c>
      <c r="H33" s="69"/>
      <c r="I33" s="61"/>
      <c r="J33" s="70" t="str">
        <f t="shared" si="8"/>
        <v/>
      </c>
      <c r="K33" s="74" t="str">
        <f t="shared" si="9"/>
        <v/>
      </c>
      <c r="L33" s="62" t="str">
        <f t="shared" si="10"/>
        <v/>
      </c>
      <c r="M33" s="70" t="str">
        <f t="shared" si="11"/>
        <v/>
      </c>
      <c r="N33" s="74" t="str">
        <f t="shared" si="0"/>
        <v/>
      </c>
      <c r="O33" s="62" t="str">
        <f t="shared" si="1"/>
        <v/>
      </c>
      <c r="P33" s="70" t="str">
        <f t="shared" si="12"/>
        <v/>
      </c>
      <c r="Q33" s="69"/>
      <c r="R33" s="61"/>
      <c r="S33" s="70" t="str">
        <f t="shared" si="13"/>
        <v/>
      </c>
      <c r="T33" s="69"/>
      <c r="U33" s="61"/>
      <c r="V33" s="70" t="str">
        <f t="shared" si="14"/>
        <v/>
      </c>
      <c r="W33" s="69"/>
      <c r="X33" s="61"/>
      <c r="Y33" s="70" t="str">
        <f t="shared" si="15"/>
        <v/>
      </c>
      <c r="Z33" s="74" t="str">
        <f t="shared" si="16"/>
        <v/>
      </c>
      <c r="AA33" s="62" t="str">
        <f t="shared" si="17"/>
        <v/>
      </c>
      <c r="AB33" s="70" t="str">
        <f t="shared" si="18"/>
        <v/>
      </c>
      <c r="AC33" s="74" t="str">
        <f t="shared" si="2"/>
        <v/>
      </c>
      <c r="AD33" s="62" t="str">
        <f t="shared" si="3"/>
        <v/>
      </c>
      <c r="AE33" s="70" t="str">
        <f t="shared" si="19"/>
        <v/>
      </c>
      <c r="AF33" s="69"/>
      <c r="AG33" s="61"/>
      <c r="AH33" s="70" t="str">
        <f t="shared" si="20"/>
        <v/>
      </c>
      <c r="AI33" s="69"/>
      <c r="AJ33" s="61"/>
      <c r="AK33" s="70" t="str">
        <f t="shared" si="21"/>
        <v/>
      </c>
      <c r="AL33" s="69"/>
      <c r="AM33" s="61"/>
      <c r="AN33" s="70" t="str">
        <f t="shared" si="22"/>
        <v/>
      </c>
      <c r="AO33" s="74" t="str">
        <f t="shared" si="23"/>
        <v/>
      </c>
      <c r="AP33" s="62" t="str">
        <f t="shared" si="24"/>
        <v/>
      </c>
      <c r="AQ33" s="70" t="str">
        <f t="shared" si="25"/>
        <v/>
      </c>
      <c r="AR33" s="74" t="str">
        <f t="shared" si="4"/>
        <v/>
      </c>
      <c r="AS33" s="62" t="str">
        <f t="shared" si="5"/>
        <v/>
      </c>
      <c r="AT33" s="70" t="str">
        <f t="shared" si="26"/>
        <v/>
      </c>
    </row>
    <row r="34" spans="1:46" ht="18" customHeight="1">
      <c r="A34" s="77" t="str">
        <f>IF($C$9="Data Not Entered On Set-Up Worksheet","",IF(OR(VLOOKUP($C$9,County_Lookup_MC,19,FALSE)="",VLOOKUP($C$9,County_Lookup_MC,19,FALSE)=0),"",VLOOKUP($C$9,County_Lookup_MC,19,FALSE)))</f>
        <v/>
      </c>
      <c r="B34" s="69"/>
      <c r="C34" s="61"/>
      <c r="D34" s="70" t="str">
        <f t="shared" si="6"/>
        <v/>
      </c>
      <c r="E34" s="69"/>
      <c r="F34" s="61"/>
      <c r="G34" s="70" t="str">
        <f t="shared" si="7"/>
        <v/>
      </c>
      <c r="H34" s="69"/>
      <c r="I34" s="61"/>
      <c r="J34" s="70" t="str">
        <f t="shared" si="8"/>
        <v/>
      </c>
      <c r="K34" s="74" t="str">
        <f t="shared" si="9"/>
        <v/>
      </c>
      <c r="L34" s="62" t="str">
        <f t="shared" si="10"/>
        <v/>
      </c>
      <c r="M34" s="70" t="str">
        <f t="shared" si="11"/>
        <v/>
      </c>
      <c r="N34" s="74" t="str">
        <f t="shared" si="0"/>
        <v/>
      </c>
      <c r="O34" s="62" t="str">
        <f t="shared" si="1"/>
        <v/>
      </c>
      <c r="P34" s="70" t="str">
        <f t="shared" si="12"/>
        <v/>
      </c>
      <c r="Q34" s="69"/>
      <c r="R34" s="61"/>
      <c r="S34" s="70" t="str">
        <f t="shared" si="13"/>
        <v/>
      </c>
      <c r="T34" s="69"/>
      <c r="U34" s="61"/>
      <c r="V34" s="70" t="str">
        <f t="shared" si="14"/>
        <v/>
      </c>
      <c r="W34" s="69"/>
      <c r="X34" s="61"/>
      <c r="Y34" s="70" t="str">
        <f t="shared" si="15"/>
        <v/>
      </c>
      <c r="Z34" s="74" t="str">
        <f t="shared" si="16"/>
        <v/>
      </c>
      <c r="AA34" s="62" t="str">
        <f t="shared" si="17"/>
        <v/>
      </c>
      <c r="AB34" s="70" t="str">
        <f t="shared" si="18"/>
        <v/>
      </c>
      <c r="AC34" s="74" t="str">
        <f t="shared" si="2"/>
        <v/>
      </c>
      <c r="AD34" s="62" t="str">
        <f t="shared" si="3"/>
        <v/>
      </c>
      <c r="AE34" s="70" t="str">
        <f t="shared" si="19"/>
        <v/>
      </c>
      <c r="AF34" s="69"/>
      <c r="AG34" s="61"/>
      <c r="AH34" s="70" t="str">
        <f t="shared" si="20"/>
        <v/>
      </c>
      <c r="AI34" s="69"/>
      <c r="AJ34" s="61"/>
      <c r="AK34" s="70" t="str">
        <f t="shared" si="21"/>
        <v/>
      </c>
      <c r="AL34" s="69"/>
      <c r="AM34" s="61"/>
      <c r="AN34" s="70" t="str">
        <f t="shared" si="22"/>
        <v/>
      </c>
      <c r="AO34" s="74" t="str">
        <f t="shared" si="23"/>
        <v/>
      </c>
      <c r="AP34" s="62" t="str">
        <f t="shared" si="24"/>
        <v/>
      </c>
      <c r="AQ34" s="70" t="str">
        <f t="shared" si="25"/>
        <v/>
      </c>
      <c r="AR34" s="74" t="str">
        <f t="shared" si="4"/>
        <v/>
      </c>
      <c r="AS34" s="62" t="str">
        <f t="shared" si="5"/>
        <v/>
      </c>
      <c r="AT34" s="70" t="str">
        <f t="shared" si="26"/>
        <v/>
      </c>
    </row>
    <row r="35" spans="1:46" ht="18" customHeight="1">
      <c r="A35" s="77" t="str">
        <f>IF($C$9="Data Not Entered On Set-Up Worksheet","",IF(OR(VLOOKUP($C$9,County_Lookup_MC,20,FALSE)="",VLOOKUP($C$9,County_Lookup_MC,20,FALSE)=0),"",VLOOKUP($C$9,County_Lookup_MC,20,FALSE)))</f>
        <v/>
      </c>
      <c r="B35" s="69"/>
      <c r="C35" s="61"/>
      <c r="D35" s="70" t="str">
        <f t="shared" si="6"/>
        <v/>
      </c>
      <c r="E35" s="69"/>
      <c r="F35" s="61"/>
      <c r="G35" s="70" t="str">
        <f t="shared" si="7"/>
        <v/>
      </c>
      <c r="H35" s="69"/>
      <c r="I35" s="61"/>
      <c r="J35" s="70" t="str">
        <f t="shared" si="8"/>
        <v/>
      </c>
      <c r="K35" s="74" t="str">
        <f t="shared" si="9"/>
        <v/>
      </c>
      <c r="L35" s="62" t="str">
        <f t="shared" si="10"/>
        <v/>
      </c>
      <c r="M35" s="70" t="str">
        <f t="shared" si="11"/>
        <v/>
      </c>
      <c r="N35" s="74" t="str">
        <f t="shared" si="0"/>
        <v/>
      </c>
      <c r="O35" s="62" t="str">
        <f t="shared" si="1"/>
        <v/>
      </c>
      <c r="P35" s="70" t="str">
        <f t="shared" si="12"/>
        <v/>
      </c>
      <c r="Q35" s="69"/>
      <c r="R35" s="61"/>
      <c r="S35" s="70" t="str">
        <f t="shared" si="13"/>
        <v/>
      </c>
      <c r="T35" s="69"/>
      <c r="U35" s="61"/>
      <c r="V35" s="70" t="str">
        <f t="shared" si="14"/>
        <v/>
      </c>
      <c r="W35" s="69"/>
      <c r="X35" s="61"/>
      <c r="Y35" s="70" t="str">
        <f t="shared" si="15"/>
        <v/>
      </c>
      <c r="Z35" s="74" t="str">
        <f t="shared" si="16"/>
        <v/>
      </c>
      <c r="AA35" s="62" t="str">
        <f t="shared" si="17"/>
        <v/>
      </c>
      <c r="AB35" s="70" t="str">
        <f t="shared" si="18"/>
        <v/>
      </c>
      <c r="AC35" s="74" t="str">
        <f t="shared" si="2"/>
        <v/>
      </c>
      <c r="AD35" s="62" t="str">
        <f t="shared" si="3"/>
        <v/>
      </c>
      <c r="AE35" s="70" t="str">
        <f t="shared" si="19"/>
        <v/>
      </c>
      <c r="AF35" s="69"/>
      <c r="AG35" s="61"/>
      <c r="AH35" s="70" t="str">
        <f t="shared" si="20"/>
        <v/>
      </c>
      <c r="AI35" s="69"/>
      <c r="AJ35" s="61"/>
      <c r="AK35" s="70" t="str">
        <f t="shared" si="21"/>
        <v/>
      </c>
      <c r="AL35" s="69"/>
      <c r="AM35" s="61"/>
      <c r="AN35" s="70" t="str">
        <f t="shared" si="22"/>
        <v/>
      </c>
      <c r="AO35" s="74" t="str">
        <f t="shared" si="23"/>
        <v/>
      </c>
      <c r="AP35" s="62" t="str">
        <f t="shared" si="24"/>
        <v/>
      </c>
      <c r="AQ35" s="70" t="str">
        <f t="shared" si="25"/>
        <v/>
      </c>
      <c r="AR35" s="74" t="str">
        <f t="shared" si="4"/>
        <v/>
      </c>
      <c r="AS35" s="62" t="str">
        <f t="shared" si="5"/>
        <v/>
      </c>
      <c r="AT35" s="70" t="str">
        <f t="shared" si="26"/>
        <v/>
      </c>
    </row>
    <row r="36" spans="1:46" ht="18" customHeight="1">
      <c r="A36" s="77" t="str">
        <f>IF($C$9="Data Not Entered On Set-Up Worksheet","",IF(OR(VLOOKUP($C$9,County_Lookup_MC,21,FALSE)="",VLOOKUP($C$9,County_Lookup_MC,21,FALSE)=0),"",VLOOKUP($C$9,County_Lookup_MC,21,FALSE)))</f>
        <v/>
      </c>
      <c r="B36" s="69"/>
      <c r="C36" s="61"/>
      <c r="D36" s="70" t="str">
        <f t="shared" si="6"/>
        <v/>
      </c>
      <c r="E36" s="69"/>
      <c r="F36" s="61"/>
      <c r="G36" s="70" t="str">
        <f t="shared" si="7"/>
        <v/>
      </c>
      <c r="H36" s="69"/>
      <c r="I36" s="61"/>
      <c r="J36" s="70" t="str">
        <f t="shared" si="8"/>
        <v/>
      </c>
      <c r="K36" s="74" t="str">
        <f t="shared" si="9"/>
        <v/>
      </c>
      <c r="L36" s="62" t="str">
        <f t="shared" si="10"/>
        <v/>
      </c>
      <c r="M36" s="70" t="str">
        <f t="shared" si="11"/>
        <v/>
      </c>
      <c r="N36" s="74" t="str">
        <f t="shared" si="0"/>
        <v/>
      </c>
      <c r="O36" s="62" t="str">
        <f t="shared" si="1"/>
        <v/>
      </c>
      <c r="P36" s="70" t="str">
        <f t="shared" si="12"/>
        <v/>
      </c>
      <c r="Q36" s="69"/>
      <c r="R36" s="61"/>
      <c r="S36" s="70" t="str">
        <f t="shared" si="13"/>
        <v/>
      </c>
      <c r="T36" s="69"/>
      <c r="U36" s="61"/>
      <c r="V36" s="70" t="str">
        <f t="shared" si="14"/>
        <v/>
      </c>
      <c r="W36" s="69"/>
      <c r="X36" s="61"/>
      <c r="Y36" s="70" t="str">
        <f t="shared" si="15"/>
        <v/>
      </c>
      <c r="Z36" s="74" t="str">
        <f t="shared" si="16"/>
        <v/>
      </c>
      <c r="AA36" s="62" t="str">
        <f t="shared" si="17"/>
        <v/>
      </c>
      <c r="AB36" s="70" t="str">
        <f t="shared" si="18"/>
        <v/>
      </c>
      <c r="AC36" s="74" t="str">
        <f t="shared" si="2"/>
        <v/>
      </c>
      <c r="AD36" s="62" t="str">
        <f t="shared" si="3"/>
        <v/>
      </c>
      <c r="AE36" s="70" t="str">
        <f t="shared" si="19"/>
        <v/>
      </c>
      <c r="AF36" s="69"/>
      <c r="AG36" s="61"/>
      <c r="AH36" s="70" t="str">
        <f t="shared" si="20"/>
        <v/>
      </c>
      <c r="AI36" s="69"/>
      <c r="AJ36" s="61"/>
      <c r="AK36" s="70" t="str">
        <f t="shared" si="21"/>
        <v/>
      </c>
      <c r="AL36" s="69"/>
      <c r="AM36" s="61"/>
      <c r="AN36" s="70" t="str">
        <f t="shared" si="22"/>
        <v/>
      </c>
      <c r="AO36" s="74" t="str">
        <f t="shared" si="23"/>
        <v/>
      </c>
      <c r="AP36" s="62" t="str">
        <f t="shared" si="24"/>
        <v/>
      </c>
      <c r="AQ36" s="70" t="str">
        <f t="shared" si="25"/>
        <v/>
      </c>
      <c r="AR36" s="74" t="str">
        <f t="shared" si="4"/>
        <v/>
      </c>
      <c r="AS36" s="62" t="str">
        <f t="shared" si="5"/>
        <v/>
      </c>
      <c r="AT36" s="70" t="str">
        <f t="shared" si="26"/>
        <v/>
      </c>
    </row>
    <row r="37" spans="1:46" ht="18" customHeight="1">
      <c r="A37" s="76" t="str">
        <f>IF($C$9="Data Not Entered On Set-Up Worksheet","",IF(OR(VLOOKUP($C$9,County_Lookup_MC,22,FALSE)="",VLOOKUP($C$9,County_Lookup_MC,22,FALSE)=0),"",VLOOKUP($C$9,County_Lookup_MC,22,FALSE)))</f>
        <v/>
      </c>
      <c r="B37" s="69"/>
      <c r="C37" s="61"/>
      <c r="D37" s="70" t="str">
        <f t="shared" si="6"/>
        <v/>
      </c>
      <c r="E37" s="69"/>
      <c r="F37" s="61"/>
      <c r="G37" s="70" t="str">
        <f t="shared" si="7"/>
        <v/>
      </c>
      <c r="H37" s="69"/>
      <c r="I37" s="61"/>
      <c r="J37" s="70" t="str">
        <f t="shared" si="8"/>
        <v/>
      </c>
      <c r="K37" s="74" t="str">
        <f t="shared" si="9"/>
        <v/>
      </c>
      <c r="L37" s="62" t="str">
        <f t="shared" si="10"/>
        <v/>
      </c>
      <c r="M37" s="70" t="str">
        <f t="shared" si="11"/>
        <v/>
      </c>
      <c r="N37" s="74" t="str">
        <f t="shared" si="0"/>
        <v/>
      </c>
      <c r="O37" s="62" t="str">
        <f t="shared" si="1"/>
        <v/>
      </c>
      <c r="P37" s="70" t="str">
        <f t="shared" si="12"/>
        <v/>
      </c>
      <c r="Q37" s="69"/>
      <c r="R37" s="61"/>
      <c r="S37" s="70" t="str">
        <f t="shared" si="13"/>
        <v/>
      </c>
      <c r="T37" s="69"/>
      <c r="U37" s="61"/>
      <c r="V37" s="70" t="str">
        <f t="shared" si="14"/>
        <v/>
      </c>
      <c r="W37" s="69"/>
      <c r="X37" s="61"/>
      <c r="Y37" s="70" t="str">
        <f t="shared" si="15"/>
        <v/>
      </c>
      <c r="Z37" s="74" t="str">
        <f t="shared" si="16"/>
        <v/>
      </c>
      <c r="AA37" s="62" t="str">
        <f t="shared" si="17"/>
        <v/>
      </c>
      <c r="AB37" s="70" t="str">
        <f t="shared" si="18"/>
        <v/>
      </c>
      <c r="AC37" s="74" t="str">
        <f t="shared" si="2"/>
        <v/>
      </c>
      <c r="AD37" s="62" t="str">
        <f t="shared" si="3"/>
        <v/>
      </c>
      <c r="AE37" s="70" t="str">
        <f t="shared" si="19"/>
        <v/>
      </c>
      <c r="AF37" s="69"/>
      <c r="AG37" s="61"/>
      <c r="AH37" s="70" t="str">
        <f t="shared" si="20"/>
        <v/>
      </c>
      <c r="AI37" s="69"/>
      <c r="AJ37" s="61"/>
      <c r="AK37" s="70" t="str">
        <f t="shared" si="21"/>
        <v/>
      </c>
      <c r="AL37" s="69"/>
      <c r="AM37" s="61"/>
      <c r="AN37" s="70" t="str">
        <f t="shared" si="22"/>
        <v/>
      </c>
      <c r="AO37" s="74" t="str">
        <f t="shared" si="23"/>
        <v/>
      </c>
      <c r="AP37" s="62" t="str">
        <f t="shared" si="24"/>
        <v/>
      </c>
      <c r="AQ37" s="70" t="str">
        <f t="shared" si="25"/>
        <v/>
      </c>
      <c r="AR37" s="74" t="str">
        <f t="shared" si="4"/>
        <v/>
      </c>
      <c r="AS37" s="62" t="str">
        <f t="shared" si="5"/>
        <v/>
      </c>
      <c r="AT37" s="70" t="str">
        <f t="shared" si="26"/>
        <v/>
      </c>
    </row>
    <row r="38" spans="1:46" ht="18" customHeight="1">
      <c r="A38" s="77" t="str">
        <f>IF($C$9="Data Not Entered On Set-Up Worksheet","",IF(OR(VLOOKUP($C$9,County_Lookup_MC,23,FALSE)="",VLOOKUP($C$9,County_Lookup_MC,23,FALSE)=0),"",VLOOKUP($C$9,County_Lookup_MC,23,FALSE)))</f>
        <v/>
      </c>
      <c r="B38" s="69"/>
      <c r="C38" s="61"/>
      <c r="D38" s="70" t="str">
        <f t="shared" si="6"/>
        <v/>
      </c>
      <c r="E38" s="69"/>
      <c r="F38" s="61"/>
      <c r="G38" s="70" t="str">
        <f t="shared" si="7"/>
        <v/>
      </c>
      <c r="H38" s="69"/>
      <c r="I38" s="61"/>
      <c r="J38" s="70" t="str">
        <f t="shared" si="8"/>
        <v/>
      </c>
      <c r="K38" s="74" t="str">
        <f t="shared" si="9"/>
        <v/>
      </c>
      <c r="L38" s="62" t="str">
        <f t="shared" si="10"/>
        <v/>
      </c>
      <c r="M38" s="70" t="str">
        <f t="shared" si="11"/>
        <v/>
      </c>
      <c r="N38" s="74" t="str">
        <f t="shared" si="0"/>
        <v/>
      </c>
      <c r="O38" s="62" t="str">
        <f t="shared" si="1"/>
        <v/>
      </c>
      <c r="P38" s="70" t="str">
        <f t="shared" si="12"/>
        <v/>
      </c>
      <c r="Q38" s="69"/>
      <c r="R38" s="61"/>
      <c r="S38" s="70" t="str">
        <f t="shared" si="13"/>
        <v/>
      </c>
      <c r="T38" s="69"/>
      <c r="U38" s="61"/>
      <c r="V38" s="70" t="str">
        <f t="shared" si="14"/>
        <v/>
      </c>
      <c r="W38" s="69"/>
      <c r="X38" s="61"/>
      <c r="Y38" s="70" t="str">
        <f t="shared" si="15"/>
        <v/>
      </c>
      <c r="Z38" s="74" t="str">
        <f t="shared" si="16"/>
        <v/>
      </c>
      <c r="AA38" s="62" t="str">
        <f t="shared" si="17"/>
        <v/>
      </c>
      <c r="AB38" s="70" t="str">
        <f t="shared" si="18"/>
        <v/>
      </c>
      <c r="AC38" s="74" t="str">
        <f t="shared" si="2"/>
        <v/>
      </c>
      <c r="AD38" s="62" t="str">
        <f t="shared" si="3"/>
        <v/>
      </c>
      <c r="AE38" s="70" t="str">
        <f t="shared" si="19"/>
        <v/>
      </c>
      <c r="AF38" s="69"/>
      <c r="AG38" s="61"/>
      <c r="AH38" s="70" t="str">
        <f t="shared" si="20"/>
        <v/>
      </c>
      <c r="AI38" s="69"/>
      <c r="AJ38" s="61"/>
      <c r="AK38" s="70" t="str">
        <f t="shared" si="21"/>
        <v/>
      </c>
      <c r="AL38" s="69"/>
      <c r="AM38" s="61"/>
      <c r="AN38" s="70" t="str">
        <f t="shared" si="22"/>
        <v/>
      </c>
      <c r="AO38" s="74" t="str">
        <f t="shared" si="23"/>
        <v/>
      </c>
      <c r="AP38" s="62" t="str">
        <f t="shared" si="24"/>
        <v/>
      </c>
      <c r="AQ38" s="70" t="str">
        <f t="shared" si="25"/>
        <v/>
      </c>
      <c r="AR38" s="74" t="str">
        <f t="shared" si="4"/>
        <v/>
      </c>
      <c r="AS38" s="62" t="str">
        <f t="shared" si="5"/>
        <v/>
      </c>
      <c r="AT38" s="70" t="str">
        <f t="shared" si="26"/>
        <v/>
      </c>
    </row>
    <row r="39" spans="1:46" ht="18" customHeight="1">
      <c r="A39" s="77" t="str">
        <f>IF($C$9="Data Not Entered On Set-Up Worksheet","",IF(OR(VLOOKUP($C$9,County_Lookup_MC,24,FALSE)="",VLOOKUP($C$9,County_Lookup_MC,24,FALSE)=0),"",VLOOKUP($C$9,County_Lookup_MC,24,FALSE)))</f>
        <v/>
      </c>
      <c r="B39" s="69"/>
      <c r="C39" s="61"/>
      <c r="D39" s="70" t="str">
        <f t="shared" ref="D39" si="27">IF($A39="","",IF(C39=0,0,B39/C39))</f>
        <v/>
      </c>
      <c r="E39" s="69"/>
      <c r="F39" s="61"/>
      <c r="G39" s="70" t="str">
        <f t="shared" ref="G39" si="28">IF($A39="","",IF(F39=0,0,E39/F39))</f>
        <v/>
      </c>
      <c r="H39" s="69"/>
      <c r="I39" s="61"/>
      <c r="J39" s="70" t="str">
        <f t="shared" ref="J39" si="29">IF($A39="","",IF(I39=0,0,H39/I39))</f>
        <v/>
      </c>
      <c r="K39" s="74" t="str">
        <f t="shared" ref="K39" si="30">IF($A39="","",SUM(E39,H39))</f>
        <v/>
      </c>
      <c r="L39" s="62" t="str">
        <f t="shared" ref="L39" si="31">IF($A39="","",SUM(F39,I39))</f>
        <v/>
      </c>
      <c r="M39" s="70" t="str">
        <f t="shared" ref="M39" si="32">IF($A39="","",IF(L39=0,0,K39/L39))</f>
        <v/>
      </c>
      <c r="N39" s="74" t="str">
        <f t="shared" ref="N39" si="33">IF($A39="","",SUM(B39,E39,H39))</f>
        <v/>
      </c>
      <c r="O39" s="62" t="str">
        <f t="shared" ref="O39" si="34">IF($A39="","",SUM(C39,F39,I39))</f>
        <v/>
      </c>
      <c r="P39" s="70" t="str">
        <f t="shared" ref="P39" si="35">IF($A39="","",IF(O39=0,0,N39/O39))</f>
        <v/>
      </c>
      <c r="Q39" s="69"/>
      <c r="R39" s="61"/>
      <c r="S39" s="70" t="str">
        <f t="shared" si="13"/>
        <v/>
      </c>
      <c r="T39" s="69"/>
      <c r="U39" s="61"/>
      <c r="V39" s="70" t="str">
        <f t="shared" si="14"/>
        <v/>
      </c>
      <c r="W39" s="69"/>
      <c r="X39" s="61"/>
      <c r="Y39" s="70" t="str">
        <f t="shared" si="15"/>
        <v/>
      </c>
      <c r="Z39" s="74" t="str">
        <f t="shared" si="16"/>
        <v/>
      </c>
      <c r="AA39" s="62" t="str">
        <f t="shared" si="17"/>
        <v/>
      </c>
      <c r="AB39" s="70" t="str">
        <f t="shared" si="18"/>
        <v/>
      </c>
      <c r="AC39" s="74" t="str">
        <f t="shared" si="2"/>
        <v/>
      </c>
      <c r="AD39" s="62" t="str">
        <f t="shared" si="3"/>
        <v/>
      </c>
      <c r="AE39" s="70" t="str">
        <f t="shared" si="19"/>
        <v/>
      </c>
      <c r="AF39" s="69"/>
      <c r="AG39" s="61"/>
      <c r="AH39" s="70" t="str">
        <f t="shared" si="20"/>
        <v/>
      </c>
      <c r="AI39" s="69"/>
      <c r="AJ39" s="61"/>
      <c r="AK39" s="70" t="str">
        <f t="shared" si="21"/>
        <v/>
      </c>
      <c r="AL39" s="69"/>
      <c r="AM39" s="61"/>
      <c r="AN39" s="70" t="str">
        <f t="shared" si="22"/>
        <v/>
      </c>
      <c r="AO39" s="74" t="str">
        <f t="shared" si="23"/>
        <v/>
      </c>
      <c r="AP39" s="62" t="str">
        <f t="shared" si="24"/>
        <v/>
      </c>
      <c r="AQ39" s="70" t="str">
        <f t="shared" si="25"/>
        <v/>
      </c>
      <c r="AR39" s="74" t="str">
        <f t="shared" si="4"/>
        <v/>
      </c>
      <c r="AS39" s="62" t="str">
        <f t="shared" si="5"/>
        <v/>
      </c>
      <c r="AT39" s="70" t="str">
        <f t="shared" si="26"/>
        <v/>
      </c>
    </row>
    <row r="40" spans="1:46" ht="18" customHeight="1">
      <c r="A40" s="77" t="str">
        <f>IF($C$9="Data Not Entered On Set-Up Worksheet","",IF(OR(VLOOKUP($C$9,County_Lookup_MC,25,FALSE)="",VLOOKUP($C$9,County_Lookup_MC,25,FALSE)=0),"",VLOOKUP($C$9,County_Lookup_MC,25,FALSE)))</f>
        <v/>
      </c>
      <c r="B40" s="69"/>
      <c r="C40" s="61"/>
      <c r="D40" s="70" t="str">
        <f t="shared" si="6"/>
        <v/>
      </c>
      <c r="E40" s="69"/>
      <c r="F40" s="61"/>
      <c r="G40" s="70" t="str">
        <f t="shared" si="7"/>
        <v/>
      </c>
      <c r="H40" s="69"/>
      <c r="I40" s="61"/>
      <c r="J40" s="70" t="str">
        <f t="shared" si="8"/>
        <v/>
      </c>
      <c r="K40" s="74" t="str">
        <f t="shared" si="9"/>
        <v/>
      </c>
      <c r="L40" s="62" t="str">
        <f t="shared" si="10"/>
        <v/>
      </c>
      <c r="M40" s="70" t="str">
        <f t="shared" si="11"/>
        <v/>
      </c>
      <c r="N40" s="74" t="str">
        <f t="shared" si="0"/>
        <v/>
      </c>
      <c r="O40" s="62" t="str">
        <f t="shared" si="1"/>
        <v/>
      </c>
      <c r="P40" s="70" t="str">
        <f t="shared" si="12"/>
        <v/>
      </c>
      <c r="Q40" s="69"/>
      <c r="R40" s="61"/>
      <c r="S40" s="70" t="str">
        <f t="shared" si="13"/>
        <v/>
      </c>
      <c r="T40" s="69"/>
      <c r="U40" s="61"/>
      <c r="V40" s="70" t="str">
        <f t="shared" si="14"/>
        <v/>
      </c>
      <c r="W40" s="69"/>
      <c r="X40" s="61"/>
      <c r="Y40" s="70" t="str">
        <f t="shared" si="15"/>
        <v/>
      </c>
      <c r="Z40" s="74" t="str">
        <f t="shared" si="16"/>
        <v/>
      </c>
      <c r="AA40" s="62" t="str">
        <f t="shared" si="17"/>
        <v/>
      </c>
      <c r="AB40" s="70" t="str">
        <f t="shared" si="18"/>
        <v/>
      </c>
      <c r="AC40" s="74" t="str">
        <f t="shared" si="2"/>
        <v/>
      </c>
      <c r="AD40" s="62" t="str">
        <f t="shared" si="3"/>
        <v/>
      </c>
      <c r="AE40" s="70" t="str">
        <f t="shared" si="19"/>
        <v/>
      </c>
      <c r="AF40" s="69"/>
      <c r="AG40" s="61"/>
      <c r="AH40" s="70" t="str">
        <f t="shared" si="20"/>
        <v/>
      </c>
      <c r="AI40" s="69"/>
      <c r="AJ40" s="61"/>
      <c r="AK40" s="70" t="str">
        <f t="shared" si="21"/>
        <v/>
      </c>
      <c r="AL40" s="69"/>
      <c r="AM40" s="61"/>
      <c r="AN40" s="70" t="str">
        <f t="shared" si="22"/>
        <v/>
      </c>
      <c r="AO40" s="74" t="str">
        <f t="shared" si="23"/>
        <v/>
      </c>
      <c r="AP40" s="62" t="str">
        <f t="shared" si="24"/>
        <v/>
      </c>
      <c r="AQ40" s="70" t="str">
        <f t="shared" si="25"/>
        <v/>
      </c>
      <c r="AR40" s="74" t="str">
        <f t="shared" si="4"/>
        <v/>
      </c>
      <c r="AS40" s="62" t="str">
        <f t="shared" si="5"/>
        <v/>
      </c>
      <c r="AT40" s="70" t="str">
        <f t="shared" si="26"/>
        <v/>
      </c>
    </row>
    <row r="41" spans="1:46" ht="18" customHeight="1" thickBot="1">
      <c r="A41" s="78" t="s">
        <v>0</v>
      </c>
      <c r="B41" s="71">
        <f>SUM(B17:B40)</f>
        <v>0</v>
      </c>
      <c r="C41" s="72">
        <f>SUM(C17:C40)</f>
        <v>0</v>
      </c>
      <c r="D41" s="73">
        <f t="shared" ref="D41" si="36">IF(C41=0,0,B41/C41)</f>
        <v>0</v>
      </c>
      <c r="E41" s="71">
        <f>SUM(E17:E40)</f>
        <v>0</v>
      </c>
      <c r="F41" s="72">
        <f>SUM(F17:F40)</f>
        <v>0</v>
      </c>
      <c r="G41" s="73">
        <f t="shared" ref="G41" si="37">IF(F41=0,0,E41/F41)</f>
        <v>0</v>
      </c>
      <c r="H41" s="71">
        <f>SUM(H17:H40)</f>
        <v>0</v>
      </c>
      <c r="I41" s="72">
        <f>SUM(I17:I40)</f>
        <v>0</v>
      </c>
      <c r="J41" s="73">
        <f t="shared" ref="J41" si="38">IF(I41=0,0,H41/I41)</f>
        <v>0</v>
      </c>
      <c r="K41" s="71">
        <f>SUM(K17:K40)</f>
        <v>0</v>
      </c>
      <c r="L41" s="72">
        <f>SUM(L17:L40)</f>
        <v>0</v>
      </c>
      <c r="M41" s="73">
        <f t="shared" ref="M41" si="39">IF(L41=0,0,K41/L41)</f>
        <v>0</v>
      </c>
      <c r="N41" s="71">
        <f>SUM(N17:N40)</f>
        <v>0</v>
      </c>
      <c r="O41" s="72">
        <f>SUM(O17:O40)</f>
        <v>0</v>
      </c>
      <c r="P41" s="73">
        <f t="shared" ref="P41" si="40">IF(O41=0,0,N41/O41)</f>
        <v>0</v>
      </c>
      <c r="Q41" s="71">
        <f>SUM(Q17:Q40)</f>
        <v>0</v>
      </c>
      <c r="R41" s="72">
        <f>SUM(R17:R40)</f>
        <v>0</v>
      </c>
      <c r="S41" s="73">
        <f t="shared" ref="S41" si="41">IF(R41=0,0,Q41/R41)</f>
        <v>0</v>
      </c>
      <c r="T41" s="71">
        <f>SUM(T17:T40)</f>
        <v>0</v>
      </c>
      <c r="U41" s="72">
        <f>SUM(U17:U40)</f>
        <v>0</v>
      </c>
      <c r="V41" s="73">
        <f t="shared" ref="V41" si="42">IF(U41=0,0,T41/U41)</f>
        <v>0</v>
      </c>
      <c r="W41" s="71">
        <f>SUM(W17:W40)</f>
        <v>0</v>
      </c>
      <c r="X41" s="72">
        <f>SUM(X17:X40)</f>
        <v>0</v>
      </c>
      <c r="Y41" s="73">
        <f t="shared" ref="Y41" si="43">IF(X41=0,0,W41/X41)</f>
        <v>0</v>
      </c>
      <c r="Z41" s="71">
        <f>SUM(Z17:Z40)</f>
        <v>0</v>
      </c>
      <c r="AA41" s="72">
        <f>SUM(AA17:AA40)</f>
        <v>0</v>
      </c>
      <c r="AB41" s="73">
        <f t="shared" ref="AB41" si="44">IF(AA41=0,0,Z41/AA41)</f>
        <v>0</v>
      </c>
      <c r="AC41" s="71">
        <f>SUM(AC17:AC40)</f>
        <v>0</v>
      </c>
      <c r="AD41" s="72">
        <f>SUM(AD17:AD40)</f>
        <v>0</v>
      </c>
      <c r="AE41" s="73">
        <f t="shared" ref="AE41" si="45">IF(AD41=0,0,AC41/AD41)</f>
        <v>0</v>
      </c>
      <c r="AF41" s="71">
        <f>SUM(AF17:AF40)</f>
        <v>0</v>
      </c>
      <c r="AG41" s="72">
        <f>SUM(AG17:AG40)</f>
        <v>0</v>
      </c>
      <c r="AH41" s="73">
        <f t="shared" ref="AH41" si="46">IF(AG41=0,0,AF41/AG41)</f>
        <v>0</v>
      </c>
      <c r="AI41" s="71">
        <f>SUM(AI17:AI40)</f>
        <v>0</v>
      </c>
      <c r="AJ41" s="72">
        <f>SUM(AJ17:AJ40)</f>
        <v>0</v>
      </c>
      <c r="AK41" s="73">
        <f t="shared" ref="AK41" si="47">IF(AJ41=0,0,AI41/AJ41)</f>
        <v>0</v>
      </c>
      <c r="AL41" s="71">
        <f>SUM(AL17:AL40)</f>
        <v>0</v>
      </c>
      <c r="AM41" s="72">
        <f>SUM(AM17:AM40)</f>
        <v>0</v>
      </c>
      <c r="AN41" s="73">
        <f t="shared" ref="AN41" si="48">IF(AM41=0,0,AL41/AM41)</f>
        <v>0</v>
      </c>
      <c r="AO41" s="71">
        <f>SUM(AO17:AO40)</f>
        <v>0</v>
      </c>
      <c r="AP41" s="72">
        <f>SUM(AP17:AP40)</f>
        <v>0</v>
      </c>
      <c r="AQ41" s="73">
        <f t="shared" ref="AQ41" si="49">IF(AP41=0,0,AO41/AP41)</f>
        <v>0</v>
      </c>
      <c r="AR41" s="71">
        <f>SUM(AR17:AR40)</f>
        <v>0</v>
      </c>
      <c r="AS41" s="72">
        <f>SUM(AS17:AS40)</f>
        <v>0</v>
      </c>
      <c r="AT41" s="73">
        <f t="shared" ref="AT41" si="50">IF(AS41=0,0,AR41/AS41)</f>
        <v>0</v>
      </c>
    </row>
  </sheetData>
  <sheetProtection sheet="1" objects="1" scenarios="1"/>
  <conditionalFormatting sqref="C3:C4">
    <cfRule type="expression" dxfId="63" priority="77">
      <formula>C3="Data Not Entered On Set-Up Worksheet"</formula>
    </cfRule>
  </conditionalFormatting>
  <conditionalFormatting sqref="C9">
    <cfRule type="expression" dxfId="62" priority="76">
      <formula>C9="Data Not Entered On Set-Up Worksheet"</formula>
    </cfRule>
  </conditionalFormatting>
  <conditionalFormatting sqref="C12">
    <cfRule type="expression" dxfId="61" priority="75">
      <formula>C12="Data Not Entered On Set-Up Worksheet"</formula>
    </cfRule>
  </conditionalFormatting>
  <conditionalFormatting sqref="B17:C40">
    <cfRule type="expression" dxfId="60" priority="74">
      <formula>AND($A17&lt;&gt;"",B17="")</formula>
    </cfRule>
  </conditionalFormatting>
  <conditionalFormatting sqref="F3">
    <cfRule type="expression" dxfId="59" priority="73">
      <formula>F3="Data Not Entered On Set-Up Worksheet"</formula>
    </cfRule>
  </conditionalFormatting>
  <conditionalFormatting sqref="F11:F12">
    <cfRule type="expression" dxfId="58" priority="72">
      <formula>F11="Data Not Entered On Set-Up Worksheet"</formula>
    </cfRule>
  </conditionalFormatting>
  <conditionalFormatting sqref="I3">
    <cfRule type="expression" dxfId="57" priority="71">
      <formula>I3="Data Not Entered On Set-Up Worksheet"</formula>
    </cfRule>
  </conditionalFormatting>
  <conditionalFormatting sqref="I9">
    <cfRule type="expression" dxfId="56" priority="70">
      <formula>I9="Data Not Entered On Set-Up Worksheet"</formula>
    </cfRule>
  </conditionalFormatting>
  <conditionalFormatting sqref="I11:I12">
    <cfRule type="expression" dxfId="55" priority="69">
      <formula>I11="Data Not Entered On Set-Up Worksheet"</formula>
    </cfRule>
  </conditionalFormatting>
  <conditionalFormatting sqref="O3">
    <cfRule type="expression" dxfId="54" priority="56">
      <formula>O3="Data Not Entered On Set-Up Worksheet"</formula>
    </cfRule>
  </conditionalFormatting>
  <conditionalFormatting sqref="O9">
    <cfRule type="expression" dxfId="53" priority="55">
      <formula>O9="Data Not Entered On Set-Up Worksheet"</formula>
    </cfRule>
  </conditionalFormatting>
  <conditionalFormatting sqref="O11:O12">
    <cfRule type="expression" dxfId="52" priority="54">
      <formula>O11="Data Not Entered On Set-Up Worksheet"</formula>
    </cfRule>
  </conditionalFormatting>
  <conditionalFormatting sqref="L3">
    <cfRule type="expression" dxfId="51" priority="46">
      <formula>L3="Data Not Entered On Set-Up Worksheet"</formula>
    </cfRule>
  </conditionalFormatting>
  <conditionalFormatting sqref="L9">
    <cfRule type="expression" dxfId="50" priority="45">
      <formula>L9="Data Not Entered On Set-Up Worksheet"</formula>
    </cfRule>
  </conditionalFormatting>
  <conditionalFormatting sqref="L11:L12">
    <cfRule type="expression" dxfId="49" priority="44">
      <formula>L11="Data Not Entered On Set-Up Worksheet"</formula>
    </cfRule>
  </conditionalFormatting>
  <conditionalFormatting sqref="C11">
    <cfRule type="expression" dxfId="48" priority="42">
      <formula>C11="Data Not Entered On Set-Up Worksheet"</formula>
    </cfRule>
  </conditionalFormatting>
  <conditionalFormatting sqref="E17:F40">
    <cfRule type="expression" dxfId="47" priority="38">
      <formula>AND($A17&lt;&gt;"",E17="")</formula>
    </cfRule>
  </conditionalFormatting>
  <conditionalFormatting sqref="H17:I40">
    <cfRule type="expression" dxfId="46" priority="37">
      <formula>AND($A17&lt;&gt;"",H17="")</formula>
    </cfRule>
  </conditionalFormatting>
  <conditionalFormatting sqref="R3:R4">
    <cfRule type="expression" dxfId="45" priority="36">
      <formula>R3="Data Not Entered On Set-Up Worksheet"</formula>
    </cfRule>
  </conditionalFormatting>
  <conditionalFormatting sqref="R9">
    <cfRule type="expression" dxfId="44" priority="35">
      <formula>R9="Data Not Entered On Set-Up Worksheet"</formula>
    </cfRule>
  </conditionalFormatting>
  <conditionalFormatting sqref="R12">
    <cfRule type="expression" dxfId="43" priority="34">
      <formula>R12="Data Not Entered On Set-Up Worksheet"</formula>
    </cfRule>
  </conditionalFormatting>
  <conditionalFormatting sqref="Q17:R40">
    <cfRule type="expression" dxfId="42" priority="33">
      <formula>AND($A17&lt;&gt;"",Q17="")</formula>
    </cfRule>
  </conditionalFormatting>
  <conditionalFormatting sqref="U3">
    <cfRule type="expression" dxfId="41" priority="32">
      <formula>U3="Data Not Entered On Set-Up Worksheet"</formula>
    </cfRule>
  </conditionalFormatting>
  <conditionalFormatting sqref="U11:U12">
    <cfRule type="expression" dxfId="40" priority="31">
      <formula>U11="Data Not Entered On Set-Up Worksheet"</formula>
    </cfRule>
  </conditionalFormatting>
  <conditionalFormatting sqref="X3">
    <cfRule type="expression" dxfId="39" priority="30">
      <formula>X3="Data Not Entered On Set-Up Worksheet"</formula>
    </cfRule>
  </conditionalFormatting>
  <conditionalFormatting sqref="X9">
    <cfRule type="expression" dxfId="38" priority="29">
      <formula>X9="Data Not Entered On Set-Up Worksheet"</formula>
    </cfRule>
  </conditionalFormatting>
  <conditionalFormatting sqref="X11:X12">
    <cfRule type="expression" dxfId="37" priority="28">
      <formula>X11="Data Not Entered On Set-Up Worksheet"</formula>
    </cfRule>
  </conditionalFormatting>
  <conditionalFormatting sqref="AD3">
    <cfRule type="expression" dxfId="36" priority="27">
      <formula>AD3="Data Not Entered On Set-Up Worksheet"</formula>
    </cfRule>
  </conditionalFormatting>
  <conditionalFormatting sqref="AD9">
    <cfRule type="expression" dxfId="35" priority="26">
      <formula>AD9="Data Not Entered On Set-Up Worksheet"</formula>
    </cfRule>
  </conditionalFormatting>
  <conditionalFormatting sqref="AD11:AD12">
    <cfRule type="expression" dxfId="34" priority="25">
      <formula>AD11="Data Not Entered On Set-Up Worksheet"</formula>
    </cfRule>
  </conditionalFormatting>
  <conditionalFormatting sqref="AA3">
    <cfRule type="expression" dxfId="33" priority="24">
      <formula>AA3="Data Not Entered On Set-Up Worksheet"</formula>
    </cfRule>
  </conditionalFormatting>
  <conditionalFormatting sqref="AA9">
    <cfRule type="expression" dxfId="32" priority="23">
      <formula>AA9="Data Not Entered On Set-Up Worksheet"</formula>
    </cfRule>
  </conditionalFormatting>
  <conditionalFormatting sqref="AA11:AA12">
    <cfRule type="expression" dxfId="31" priority="22">
      <formula>AA11="Data Not Entered On Set-Up Worksheet"</formula>
    </cfRule>
  </conditionalFormatting>
  <conditionalFormatting sqref="R11">
    <cfRule type="expression" dxfId="30" priority="21">
      <formula>R11="Data Not Entered On Set-Up Worksheet"</formula>
    </cfRule>
  </conditionalFormatting>
  <conditionalFormatting sqref="T17:U40">
    <cfRule type="expression" dxfId="29" priority="20">
      <formula>AND($A17&lt;&gt;"",T17="")</formula>
    </cfRule>
  </conditionalFormatting>
  <conditionalFormatting sqref="W17:X40">
    <cfRule type="expression" dxfId="28" priority="19">
      <formula>AND($A17&lt;&gt;"",W17="")</formula>
    </cfRule>
  </conditionalFormatting>
  <conditionalFormatting sqref="AG3:AG4">
    <cfRule type="expression" dxfId="27" priority="18">
      <formula>AG3="Data Not Entered On Set-Up Worksheet"</formula>
    </cfRule>
  </conditionalFormatting>
  <conditionalFormatting sqref="AG9">
    <cfRule type="expression" dxfId="26" priority="17">
      <formula>AG9="Data Not Entered On Set-Up Worksheet"</formula>
    </cfRule>
  </conditionalFormatting>
  <conditionalFormatting sqref="AG12">
    <cfRule type="expression" dxfId="25" priority="16">
      <formula>AG12="Data Not Entered On Set-Up Worksheet"</formula>
    </cfRule>
  </conditionalFormatting>
  <conditionalFormatting sqref="AF17:AG40">
    <cfRule type="expression" dxfId="24" priority="15">
      <formula>AND($A17&lt;&gt;"",AF17="")</formula>
    </cfRule>
  </conditionalFormatting>
  <conditionalFormatting sqref="AJ3">
    <cfRule type="expression" dxfId="23" priority="14">
      <formula>AJ3="Data Not Entered On Set-Up Worksheet"</formula>
    </cfRule>
  </conditionalFormatting>
  <conditionalFormatting sqref="AJ11:AJ12">
    <cfRule type="expression" dxfId="22" priority="13">
      <formula>AJ11="Data Not Entered On Set-Up Worksheet"</formula>
    </cfRule>
  </conditionalFormatting>
  <conditionalFormatting sqref="AM3">
    <cfRule type="expression" dxfId="21" priority="12">
      <formula>AM3="Data Not Entered On Set-Up Worksheet"</formula>
    </cfRule>
  </conditionalFormatting>
  <conditionalFormatting sqref="AM9">
    <cfRule type="expression" dxfId="20" priority="11">
      <formula>AM9="Data Not Entered On Set-Up Worksheet"</formula>
    </cfRule>
  </conditionalFormatting>
  <conditionalFormatting sqref="AM11:AM12">
    <cfRule type="expression" dxfId="19" priority="10">
      <formula>AM11="Data Not Entered On Set-Up Worksheet"</formula>
    </cfRule>
  </conditionalFormatting>
  <conditionalFormatting sqref="AS3">
    <cfRule type="expression" dxfId="18" priority="9">
      <formula>AS3="Data Not Entered On Set-Up Worksheet"</formula>
    </cfRule>
  </conditionalFormatting>
  <conditionalFormatting sqref="AS9">
    <cfRule type="expression" dxfId="17" priority="8">
      <formula>AS9="Data Not Entered On Set-Up Worksheet"</formula>
    </cfRule>
  </conditionalFormatting>
  <conditionalFormatting sqref="AS11:AS12">
    <cfRule type="expression" dxfId="16" priority="7">
      <formula>AS11="Data Not Entered On Set-Up Worksheet"</formula>
    </cfRule>
  </conditionalFormatting>
  <conditionalFormatting sqref="AP3">
    <cfRule type="expression" dxfId="15" priority="6">
      <formula>AP3="Data Not Entered On Set-Up Worksheet"</formula>
    </cfRule>
  </conditionalFormatting>
  <conditionalFormatting sqref="AP9">
    <cfRule type="expression" dxfId="14" priority="5">
      <formula>AP9="Data Not Entered On Set-Up Worksheet"</formula>
    </cfRule>
  </conditionalFormatting>
  <conditionalFormatting sqref="AP11:AP12">
    <cfRule type="expression" dxfId="13" priority="4">
      <formula>AP11="Data Not Entered On Set-Up Worksheet"</formula>
    </cfRule>
  </conditionalFormatting>
  <conditionalFormatting sqref="AG11">
    <cfRule type="expression" dxfId="12" priority="3">
      <formula>AG11="Data Not Entered On Set-Up Worksheet"</formula>
    </cfRule>
  </conditionalFormatting>
  <conditionalFormatting sqref="AI17:AJ40">
    <cfRule type="expression" dxfId="11" priority="2">
      <formula>AND($A17&lt;&gt;"",AI17="")</formula>
    </cfRule>
  </conditionalFormatting>
  <conditionalFormatting sqref="AL17:AM40">
    <cfRule type="expression" dxfId="10" priority="1">
      <formula>AND($A17&lt;&gt;"",AL17="")</formula>
    </cfRule>
  </conditionalFormatting>
  <pageMargins left="0.3" right="0.3" top="0.5" bottom="0.5" header="0.3" footer="0.3"/>
  <pageSetup scale="40" fitToWidth="3" orientation="landscape" r:id="rId1"/>
  <headerFooter>
    <oddFooter>&amp;LNC DHHS LME-MCO Performance Measures Report Part II DMH/DD/SAS Measures&amp;C&amp;P&amp;R&amp;F</odd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9"/>
  <sheetViews>
    <sheetView showGridLines="0" workbookViewId="0">
      <pane ySplit="9" topLeftCell="A10" activePane="bottomLeft" state="frozen"/>
      <selection activeCell="K14" sqref="K14"/>
      <selection pane="bottomLeft" activeCell="I11" sqref="I11"/>
    </sheetView>
  </sheetViews>
  <sheetFormatPr defaultRowHeight="12.75"/>
  <cols>
    <col min="1" max="1" width="57.28515625" customWidth="1"/>
    <col min="2" max="2" width="21" bestFit="1" customWidth="1"/>
    <col min="3" max="3" width="19.5703125" bestFit="1" customWidth="1"/>
    <col min="4" max="5" width="18.42578125" bestFit="1" customWidth="1"/>
    <col min="6" max="6" width="18.28515625" customWidth="1"/>
    <col min="7" max="7" width="18.140625" customWidth="1"/>
    <col min="9" max="9" width="10.7109375" customWidth="1"/>
    <col min="256" max="256" width="57.28515625" customWidth="1"/>
    <col min="257" max="257" width="21" bestFit="1" customWidth="1"/>
    <col min="258" max="258" width="19.5703125" bestFit="1" customWidth="1"/>
    <col min="259" max="260" width="18.42578125" bestFit="1" customWidth="1"/>
    <col min="261" max="261" width="18.28515625" bestFit="1" customWidth="1"/>
    <col min="262" max="262" width="18.140625" bestFit="1" customWidth="1"/>
    <col min="512" max="512" width="57.28515625" customWidth="1"/>
    <col min="513" max="513" width="21" bestFit="1" customWidth="1"/>
    <col min="514" max="514" width="19.5703125" bestFit="1" customWidth="1"/>
    <col min="515" max="516" width="18.42578125" bestFit="1" customWidth="1"/>
    <col min="517" max="517" width="18.28515625" bestFit="1" customWidth="1"/>
    <col min="518" max="518" width="18.140625" bestFit="1" customWidth="1"/>
    <col min="768" max="768" width="57.28515625" customWidth="1"/>
    <col min="769" max="769" width="21" bestFit="1" customWidth="1"/>
    <col min="770" max="770" width="19.5703125" bestFit="1" customWidth="1"/>
    <col min="771" max="772" width="18.42578125" bestFit="1" customWidth="1"/>
    <col min="773" max="773" width="18.28515625" bestFit="1" customWidth="1"/>
    <col min="774" max="774" width="18.140625" bestFit="1" customWidth="1"/>
    <col min="1024" max="1024" width="57.28515625" customWidth="1"/>
    <col min="1025" max="1025" width="21" bestFit="1" customWidth="1"/>
    <col min="1026" max="1026" width="19.5703125" bestFit="1" customWidth="1"/>
    <col min="1027" max="1028" width="18.42578125" bestFit="1" customWidth="1"/>
    <col min="1029" max="1029" width="18.28515625" bestFit="1" customWidth="1"/>
    <col min="1030" max="1030" width="18.140625" bestFit="1" customWidth="1"/>
    <col min="1280" max="1280" width="57.28515625" customWidth="1"/>
    <col min="1281" max="1281" width="21" bestFit="1" customWidth="1"/>
    <col min="1282" max="1282" width="19.5703125" bestFit="1" customWidth="1"/>
    <col min="1283" max="1284" width="18.42578125" bestFit="1" customWidth="1"/>
    <col min="1285" max="1285" width="18.28515625" bestFit="1" customWidth="1"/>
    <col min="1286" max="1286" width="18.140625" bestFit="1" customWidth="1"/>
    <col min="1536" max="1536" width="57.28515625" customWidth="1"/>
    <col min="1537" max="1537" width="21" bestFit="1" customWidth="1"/>
    <col min="1538" max="1538" width="19.5703125" bestFit="1" customWidth="1"/>
    <col min="1539" max="1540" width="18.42578125" bestFit="1" customWidth="1"/>
    <col min="1541" max="1541" width="18.28515625" bestFit="1" customWidth="1"/>
    <col min="1542" max="1542" width="18.140625" bestFit="1" customWidth="1"/>
    <col min="1792" max="1792" width="57.28515625" customWidth="1"/>
    <col min="1793" max="1793" width="21" bestFit="1" customWidth="1"/>
    <col min="1794" max="1794" width="19.5703125" bestFit="1" customWidth="1"/>
    <col min="1795" max="1796" width="18.42578125" bestFit="1" customWidth="1"/>
    <col min="1797" max="1797" width="18.28515625" bestFit="1" customWidth="1"/>
    <col min="1798" max="1798" width="18.140625" bestFit="1" customWidth="1"/>
    <col min="2048" max="2048" width="57.28515625" customWidth="1"/>
    <col min="2049" max="2049" width="21" bestFit="1" customWidth="1"/>
    <col min="2050" max="2050" width="19.5703125" bestFit="1" customWidth="1"/>
    <col min="2051" max="2052" width="18.42578125" bestFit="1" customWidth="1"/>
    <col min="2053" max="2053" width="18.28515625" bestFit="1" customWidth="1"/>
    <col min="2054" max="2054" width="18.140625" bestFit="1" customWidth="1"/>
    <col min="2304" max="2304" width="57.28515625" customWidth="1"/>
    <col min="2305" max="2305" width="21" bestFit="1" customWidth="1"/>
    <col min="2306" max="2306" width="19.5703125" bestFit="1" customWidth="1"/>
    <col min="2307" max="2308" width="18.42578125" bestFit="1" customWidth="1"/>
    <col min="2309" max="2309" width="18.28515625" bestFit="1" customWidth="1"/>
    <col min="2310" max="2310" width="18.140625" bestFit="1" customWidth="1"/>
    <col min="2560" max="2560" width="57.28515625" customWidth="1"/>
    <col min="2561" max="2561" width="21" bestFit="1" customWidth="1"/>
    <col min="2562" max="2562" width="19.5703125" bestFit="1" customWidth="1"/>
    <col min="2563" max="2564" width="18.42578125" bestFit="1" customWidth="1"/>
    <col min="2565" max="2565" width="18.28515625" bestFit="1" customWidth="1"/>
    <col min="2566" max="2566" width="18.140625" bestFit="1" customWidth="1"/>
    <col min="2816" max="2816" width="57.28515625" customWidth="1"/>
    <col min="2817" max="2817" width="21" bestFit="1" customWidth="1"/>
    <col min="2818" max="2818" width="19.5703125" bestFit="1" customWidth="1"/>
    <col min="2819" max="2820" width="18.42578125" bestFit="1" customWidth="1"/>
    <col min="2821" max="2821" width="18.28515625" bestFit="1" customWidth="1"/>
    <col min="2822" max="2822" width="18.140625" bestFit="1" customWidth="1"/>
    <col min="3072" max="3072" width="57.28515625" customWidth="1"/>
    <col min="3073" max="3073" width="21" bestFit="1" customWidth="1"/>
    <col min="3074" max="3074" width="19.5703125" bestFit="1" customWidth="1"/>
    <col min="3075" max="3076" width="18.42578125" bestFit="1" customWidth="1"/>
    <col min="3077" max="3077" width="18.28515625" bestFit="1" customWidth="1"/>
    <col min="3078" max="3078" width="18.140625" bestFit="1" customWidth="1"/>
    <col min="3328" max="3328" width="57.28515625" customWidth="1"/>
    <col min="3329" max="3329" width="21" bestFit="1" customWidth="1"/>
    <col min="3330" max="3330" width="19.5703125" bestFit="1" customWidth="1"/>
    <col min="3331" max="3332" width="18.42578125" bestFit="1" customWidth="1"/>
    <col min="3333" max="3333" width="18.28515625" bestFit="1" customWidth="1"/>
    <col min="3334" max="3334" width="18.140625" bestFit="1" customWidth="1"/>
    <col min="3584" max="3584" width="57.28515625" customWidth="1"/>
    <col min="3585" max="3585" width="21" bestFit="1" customWidth="1"/>
    <col min="3586" max="3586" width="19.5703125" bestFit="1" customWidth="1"/>
    <col min="3587" max="3588" width="18.42578125" bestFit="1" customWidth="1"/>
    <col min="3589" max="3589" width="18.28515625" bestFit="1" customWidth="1"/>
    <col min="3590" max="3590" width="18.140625" bestFit="1" customWidth="1"/>
    <col min="3840" max="3840" width="57.28515625" customWidth="1"/>
    <col min="3841" max="3841" width="21" bestFit="1" customWidth="1"/>
    <col min="3842" max="3842" width="19.5703125" bestFit="1" customWidth="1"/>
    <col min="3843" max="3844" width="18.42578125" bestFit="1" customWidth="1"/>
    <col min="3845" max="3845" width="18.28515625" bestFit="1" customWidth="1"/>
    <col min="3846" max="3846" width="18.140625" bestFit="1" customWidth="1"/>
    <col min="4096" max="4096" width="57.28515625" customWidth="1"/>
    <col min="4097" max="4097" width="21" bestFit="1" customWidth="1"/>
    <col min="4098" max="4098" width="19.5703125" bestFit="1" customWidth="1"/>
    <col min="4099" max="4100" width="18.42578125" bestFit="1" customWidth="1"/>
    <col min="4101" max="4101" width="18.28515625" bestFit="1" customWidth="1"/>
    <col min="4102" max="4102" width="18.140625" bestFit="1" customWidth="1"/>
    <col min="4352" max="4352" width="57.28515625" customWidth="1"/>
    <col min="4353" max="4353" width="21" bestFit="1" customWidth="1"/>
    <col min="4354" max="4354" width="19.5703125" bestFit="1" customWidth="1"/>
    <col min="4355" max="4356" width="18.42578125" bestFit="1" customWidth="1"/>
    <col min="4357" max="4357" width="18.28515625" bestFit="1" customWidth="1"/>
    <col min="4358" max="4358" width="18.140625" bestFit="1" customWidth="1"/>
    <col min="4608" max="4608" width="57.28515625" customWidth="1"/>
    <col min="4609" max="4609" width="21" bestFit="1" customWidth="1"/>
    <col min="4610" max="4610" width="19.5703125" bestFit="1" customWidth="1"/>
    <col min="4611" max="4612" width="18.42578125" bestFit="1" customWidth="1"/>
    <col min="4613" max="4613" width="18.28515625" bestFit="1" customWidth="1"/>
    <col min="4614" max="4614" width="18.140625" bestFit="1" customWidth="1"/>
    <col min="4864" max="4864" width="57.28515625" customWidth="1"/>
    <col min="4865" max="4865" width="21" bestFit="1" customWidth="1"/>
    <col min="4866" max="4866" width="19.5703125" bestFit="1" customWidth="1"/>
    <col min="4867" max="4868" width="18.42578125" bestFit="1" customWidth="1"/>
    <col min="4869" max="4869" width="18.28515625" bestFit="1" customWidth="1"/>
    <col min="4870" max="4870" width="18.140625" bestFit="1" customWidth="1"/>
    <col min="5120" max="5120" width="57.28515625" customWidth="1"/>
    <col min="5121" max="5121" width="21" bestFit="1" customWidth="1"/>
    <col min="5122" max="5122" width="19.5703125" bestFit="1" customWidth="1"/>
    <col min="5123" max="5124" width="18.42578125" bestFit="1" customWidth="1"/>
    <col min="5125" max="5125" width="18.28515625" bestFit="1" customWidth="1"/>
    <col min="5126" max="5126" width="18.140625" bestFit="1" customWidth="1"/>
    <col min="5376" max="5376" width="57.28515625" customWidth="1"/>
    <col min="5377" max="5377" width="21" bestFit="1" customWidth="1"/>
    <col min="5378" max="5378" width="19.5703125" bestFit="1" customWidth="1"/>
    <col min="5379" max="5380" width="18.42578125" bestFit="1" customWidth="1"/>
    <col min="5381" max="5381" width="18.28515625" bestFit="1" customWidth="1"/>
    <col min="5382" max="5382" width="18.140625" bestFit="1" customWidth="1"/>
    <col min="5632" max="5632" width="57.28515625" customWidth="1"/>
    <col min="5633" max="5633" width="21" bestFit="1" customWidth="1"/>
    <col min="5634" max="5634" width="19.5703125" bestFit="1" customWidth="1"/>
    <col min="5635" max="5636" width="18.42578125" bestFit="1" customWidth="1"/>
    <col min="5637" max="5637" width="18.28515625" bestFit="1" customWidth="1"/>
    <col min="5638" max="5638" width="18.140625" bestFit="1" customWidth="1"/>
    <col min="5888" max="5888" width="57.28515625" customWidth="1"/>
    <col min="5889" max="5889" width="21" bestFit="1" customWidth="1"/>
    <col min="5890" max="5890" width="19.5703125" bestFit="1" customWidth="1"/>
    <col min="5891" max="5892" width="18.42578125" bestFit="1" customWidth="1"/>
    <col min="5893" max="5893" width="18.28515625" bestFit="1" customWidth="1"/>
    <col min="5894" max="5894" width="18.140625" bestFit="1" customWidth="1"/>
    <col min="6144" max="6144" width="57.28515625" customWidth="1"/>
    <col min="6145" max="6145" width="21" bestFit="1" customWidth="1"/>
    <col min="6146" max="6146" width="19.5703125" bestFit="1" customWidth="1"/>
    <col min="6147" max="6148" width="18.42578125" bestFit="1" customWidth="1"/>
    <col min="6149" max="6149" width="18.28515625" bestFit="1" customWidth="1"/>
    <col min="6150" max="6150" width="18.140625" bestFit="1" customWidth="1"/>
    <col min="6400" max="6400" width="57.28515625" customWidth="1"/>
    <col min="6401" max="6401" width="21" bestFit="1" customWidth="1"/>
    <col min="6402" max="6402" width="19.5703125" bestFit="1" customWidth="1"/>
    <col min="6403" max="6404" width="18.42578125" bestFit="1" customWidth="1"/>
    <col min="6405" max="6405" width="18.28515625" bestFit="1" customWidth="1"/>
    <col min="6406" max="6406" width="18.140625" bestFit="1" customWidth="1"/>
    <col min="6656" max="6656" width="57.28515625" customWidth="1"/>
    <col min="6657" max="6657" width="21" bestFit="1" customWidth="1"/>
    <col min="6658" max="6658" width="19.5703125" bestFit="1" customWidth="1"/>
    <col min="6659" max="6660" width="18.42578125" bestFit="1" customWidth="1"/>
    <col min="6661" max="6661" width="18.28515625" bestFit="1" customWidth="1"/>
    <col min="6662" max="6662" width="18.140625" bestFit="1" customWidth="1"/>
    <col min="6912" max="6912" width="57.28515625" customWidth="1"/>
    <col min="6913" max="6913" width="21" bestFit="1" customWidth="1"/>
    <col min="6914" max="6914" width="19.5703125" bestFit="1" customWidth="1"/>
    <col min="6915" max="6916" width="18.42578125" bestFit="1" customWidth="1"/>
    <col min="6917" max="6917" width="18.28515625" bestFit="1" customWidth="1"/>
    <col min="6918" max="6918" width="18.140625" bestFit="1" customWidth="1"/>
    <col min="7168" max="7168" width="57.28515625" customWidth="1"/>
    <col min="7169" max="7169" width="21" bestFit="1" customWidth="1"/>
    <col min="7170" max="7170" width="19.5703125" bestFit="1" customWidth="1"/>
    <col min="7171" max="7172" width="18.42578125" bestFit="1" customWidth="1"/>
    <col min="7173" max="7173" width="18.28515625" bestFit="1" customWidth="1"/>
    <col min="7174" max="7174" width="18.140625" bestFit="1" customWidth="1"/>
    <col min="7424" max="7424" width="57.28515625" customWidth="1"/>
    <col min="7425" max="7425" width="21" bestFit="1" customWidth="1"/>
    <col min="7426" max="7426" width="19.5703125" bestFit="1" customWidth="1"/>
    <col min="7427" max="7428" width="18.42578125" bestFit="1" customWidth="1"/>
    <col min="7429" max="7429" width="18.28515625" bestFit="1" customWidth="1"/>
    <col min="7430" max="7430" width="18.140625" bestFit="1" customWidth="1"/>
    <col min="7680" max="7680" width="57.28515625" customWidth="1"/>
    <col min="7681" max="7681" width="21" bestFit="1" customWidth="1"/>
    <col min="7682" max="7682" width="19.5703125" bestFit="1" customWidth="1"/>
    <col min="7683" max="7684" width="18.42578125" bestFit="1" customWidth="1"/>
    <col min="7685" max="7685" width="18.28515625" bestFit="1" customWidth="1"/>
    <col min="7686" max="7686" width="18.140625" bestFit="1" customWidth="1"/>
    <col min="7936" max="7936" width="57.28515625" customWidth="1"/>
    <col min="7937" max="7937" width="21" bestFit="1" customWidth="1"/>
    <col min="7938" max="7938" width="19.5703125" bestFit="1" customWidth="1"/>
    <col min="7939" max="7940" width="18.42578125" bestFit="1" customWidth="1"/>
    <col min="7941" max="7941" width="18.28515625" bestFit="1" customWidth="1"/>
    <col min="7942" max="7942" width="18.140625" bestFit="1" customWidth="1"/>
    <col min="8192" max="8192" width="57.28515625" customWidth="1"/>
    <col min="8193" max="8193" width="21" bestFit="1" customWidth="1"/>
    <col min="8194" max="8194" width="19.5703125" bestFit="1" customWidth="1"/>
    <col min="8195" max="8196" width="18.42578125" bestFit="1" customWidth="1"/>
    <col min="8197" max="8197" width="18.28515625" bestFit="1" customWidth="1"/>
    <col min="8198" max="8198" width="18.140625" bestFit="1" customWidth="1"/>
    <col min="8448" max="8448" width="57.28515625" customWidth="1"/>
    <col min="8449" max="8449" width="21" bestFit="1" customWidth="1"/>
    <col min="8450" max="8450" width="19.5703125" bestFit="1" customWidth="1"/>
    <col min="8451" max="8452" width="18.42578125" bestFit="1" customWidth="1"/>
    <col min="8453" max="8453" width="18.28515625" bestFit="1" customWidth="1"/>
    <col min="8454" max="8454" width="18.140625" bestFit="1" customWidth="1"/>
    <col min="8704" max="8704" width="57.28515625" customWidth="1"/>
    <col min="8705" max="8705" width="21" bestFit="1" customWidth="1"/>
    <col min="8706" max="8706" width="19.5703125" bestFit="1" customWidth="1"/>
    <col min="8707" max="8708" width="18.42578125" bestFit="1" customWidth="1"/>
    <col min="8709" max="8709" width="18.28515625" bestFit="1" customWidth="1"/>
    <col min="8710" max="8710" width="18.140625" bestFit="1" customWidth="1"/>
    <col min="8960" max="8960" width="57.28515625" customWidth="1"/>
    <col min="8961" max="8961" width="21" bestFit="1" customWidth="1"/>
    <col min="8962" max="8962" width="19.5703125" bestFit="1" customWidth="1"/>
    <col min="8963" max="8964" width="18.42578125" bestFit="1" customWidth="1"/>
    <col min="8965" max="8965" width="18.28515625" bestFit="1" customWidth="1"/>
    <col min="8966" max="8966" width="18.140625" bestFit="1" customWidth="1"/>
    <col min="9216" max="9216" width="57.28515625" customWidth="1"/>
    <col min="9217" max="9217" width="21" bestFit="1" customWidth="1"/>
    <col min="9218" max="9218" width="19.5703125" bestFit="1" customWidth="1"/>
    <col min="9219" max="9220" width="18.42578125" bestFit="1" customWidth="1"/>
    <col min="9221" max="9221" width="18.28515625" bestFit="1" customWidth="1"/>
    <col min="9222" max="9222" width="18.140625" bestFit="1" customWidth="1"/>
    <col min="9472" max="9472" width="57.28515625" customWidth="1"/>
    <col min="9473" max="9473" width="21" bestFit="1" customWidth="1"/>
    <col min="9474" max="9474" width="19.5703125" bestFit="1" customWidth="1"/>
    <col min="9475" max="9476" width="18.42578125" bestFit="1" customWidth="1"/>
    <col min="9477" max="9477" width="18.28515625" bestFit="1" customWidth="1"/>
    <col min="9478" max="9478" width="18.140625" bestFit="1" customWidth="1"/>
    <col min="9728" max="9728" width="57.28515625" customWidth="1"/>
    <col min="9729" max="9729" width="21" bestFit="1" customWidth="1"/>
    <col min="9730" max="9730" width="19.5703125" bestFit="1" customWidth="1"/>
    <col min="9731" max="9732" width="18.42578125" bestFit="1" customWidth="1"/>
    <col min="9733" max="9733" width="18.28515625" bestFit="1" customWidth="1"/>
    <col min="9734" max="9734" width="18.140625" bestFit="1" customWidth="1"/>
    <col min="9984" max="9984" width="57.28515625" customWidth="1"/>
    <col min="9985" max="9985" width="21" bestFit="1" customWidth="1"/>
    <col min="9986" max="9986" width="19.5703125" bestFit="1" customWidth="1"/>
    <col min="9987" max="9988" width="18.42578125" bestFit="1" customWidth="1"/>
    <col min="9989" max="9989" width="18.28515625" bestFit="1" customWidth="1"/>
    <col min="9990" max="9990" width="18.140625" bestFit="1" customWidth="1"/>
    <col min="10240" max="10240" width="57.28515625" customWidth="1"/>
    <col min="10241" max="10241" width="21" bestFit="1" customWidth="1"/>
    <col min="10242" max="10242" width="19.5703125" bestFit="1" customWidth="1"/>
    <col min="10243" max="10244" width="18.42578125" bestFit="1" customWidth="1"/>
    <col min="10245" max="10245" width="18.28515625" bestFit="1" customWidth="1"/>
    <col min="10246" max="10246" width="18.140625" bestFit="1" customWidth="1"/>
    <col min="10496" max="10496" width="57.28515625" customWidth="1"/>
    <col min="10497" max="10497" width="21" bestFit="1" customWidth="1"/>
    <col min="10498" max="10498" width="19.5703125" bestFit="1" customWidth="1"/>
    <col min="10499" max="10500" width="18.42578125" bestFit="1" customWidth="1"/>
    <col min="10501" max="10501" width="18.28515625" bestFit="1" customWidth="1"/>
    <col min="10502" max="10502" width="18.140625" bestFit="1" customWidth="1"/>
    <col min="10752" max="10752" width="57.28515625" customWidth="1"/>
    <col min="10753" max="10753" width="21" bestFit="1" customWidth="1"/>
    <col min="10754" max="10754" width="19.5703125" bestFit="1" customWidth="1"/>
    <col min="10755" max="10756" width="18.42578125" bestFit="1" customWidth="1"/>
    <col min="10757" max="10757" width="18.28515625" bestFit="1" customWidth="1"/>
    <col min="10758" max="10758" width="18.140625" bestFit="1" customWidth="1"/>
    <col min="11008" max="11008" width="57.28515625" customWidth="1"/>
    <col min="11009" max="11009" width="21" bestFit="1" customWidth="1"/>
    <col min="11010" max="11010" width="19.5703125" bestFit="1" customWidth="1"/>
    <col min="11011" max="11012" width="18.42578125" bestFit="1" customWidth="1"/>
    <col min="11013" max="11013" width="18.28515625" bestFit="1" customWidth="1"/>
    <col min="11014" max="11014" width="18.140625" bestFit="1" customWidth="1"/>
    <col min="11264" max="11264" width="57.28515625" customWidth="1"/>
    <col min="11265" max="11265" width="21" bestFit="1" customWidth="1"/>
    <col min="11266" max="11266" width="19.5703125" bestFit="1" customWidth="1"/>
    <col min="11267" max="11268" width="18.42578125" bestFit="1" customWidth="1"/>
    <col min="11269" max="11269" width="18.28515625" bestFit="1" customWidth="1"/>
    <col min="11270" max="11270" width="18.140625" bestFit="1" customWidth="1"/>
    <col min="11520" max="11520" width="57.28515625" customWidth="1"/>
    <col min="11521" max="11521" width="21" bestFit="1" customWidth="1"/>
    <col min="11522" max="11522" width="19.5703125" bestFit="1" customWidth="1"/>
    <col min="11523" max="11524" width="18.42578125" bestFit="1" customWidth="1"/>
    <col min="11525" max="11525" width="18.28515625" bestFit="1" customWidth="1"/>
    <col min="11526" max="11526" width="18.140625" bestFit="1" customWidth="1"/>
    <col min="11776" max="11776" width="57.28515625" customWidth="1"/>
    <col min="11777" max="11777" width="21" bestFit="1" customWidth="1"/>
    <col min="11778" max="11778" width="19.5703125" bestFit="1" customWidth="1"/>
    <col min="11779" max="11780" width="18.42578125" bestFit="1" customWidth="1"/>
    <col min="11781" max="11781" width="18.28515625" bestFit="1" customWidth="1"/>
    <col min="11782" max="11782" width="18.140625" bestFit="1" customWidth="1"/>
    <col min="12032" max="12032" width="57.28515625" customWidth="1"/>
    <col min="12033" max="12033" width="21" bestFit="1" customWidth="1"/>
    <col min="12034" max="12034" width="19.5703125" bestFit="1" customWidth="1"/>
    <col min="12035" max="12036" width="18.42578125" bestFit="1" customWidth="1"/>
    <col min="12037" max="12037" width="18.28515625" bestFit="1" customWidth="1"/>
    <col min="12038" max="12038" width="18.140625" bestFit="1" customWidth="1"/>
    <col min="12288" max="12288" width="57.28515625" customWidth="1"/>
    <col min="12289" max="12289" width="21" bestFit="1" customWidth="1"/>
    <col min="12290" max="12290" width="19.5703125" bestFit="1" customWidth="1"/>
    <col min="12291" max="12292" width="18.42578125" bestFit="1" customWidth="1"/>
    <col min="12293" max="12293" width="18.28515625" bestFit="1" customWidth="1"/>
    <col min="12294" max="12294" width="18.140625" bestFit="1" customWidth="1"/>
    <col min="12544" max="12544" width="57.28515625" customWidth="1"/>
    <col min="12545" max="12545" width="21" bestFit="1" customWidth="1"/>
    <col min="12546" max="12546" width="19.5703125" bestFit="1" customWidth="1"/>
    <col min="12547" max="12548" width="18.42578125" bestFit="1" customWidth="1"/>
    <col min="12549" max="12549" width="18.28515625" bestFit="1" customWidth="1"/>
    <col min="12550" max="12550" width="18.140625" bestFit="1" customWidth="1"/>
    <col min="12800" max="12800" width="57.28515625" customWidth="1"/>
    <col min="12801" max="12801" width="21" bestFit="1" customWidth="1"/>
    <col min="12802" max="12802" width="19.5703125" bestFit="1" customWidth="1"/>
    <col min="12803" max="12804" width="18.42578125" bestFit="1" customWidth="1"/>
    <col min="12805" max="12805" width="18.28515625" bestFit="1" customWidth="1"/>
    <col min="12806" max="12806" width="18.140625" bestFit="1" customWidth="1"/>
    <col min="13056" max="13056" width="57.28515625" customWidth="1"/>
    <col min="13057" max="13057" width="21" bestFit="1" customWidth="1"/>
    <col min="13058" max="13058" width="19.5703125" bestFit="1" customWidth="1"/>
    <col min="13059" max="13060" width="18.42578125" bestFit="1" customWidth="1"/>
    <col min="13061" max="13061" width="18.28515625" bestFit="1" customWidth="1"/>
    <col min="13062" max="13062" width="18.140625" bestFit="1" customWidth="1"/>
    <col min="13312" max="13312" width="57.28515625" customWidth="1"/>
    <col min="13313" max="13313" width="21" bestFit="1" customWidth="1"/>
    <col min="13314" max="13314" width="19.5703125" bestFit="1" customWidth="1"/>
    <col min="13315" max="13316" width="18.42578125" bestFit="1" customWidth="1"/>
    <col min="13317" max="13317" width="18.28515625" bestFit="1" customWidth="1"/>
    <col min="13318" max="13318" width="18.140625" bestFit="1" customWidth="1"/>
    <col min="13568" max="13568" width="57.28515625" customWidth="1"/>
    <col min="13569" max="13569" width="21" bestFit="1" customWidth="1"/>
    <col min="13570" max="13570" width="19.5703125" bestFit="1" customWidth="1"/>
    <col min="13571" max="13572" width="18.42578125" bestFit="1" customWidth="1"/>
    <col min="13573" max="13573" width="18.28515625" bestFit="1" customWidth="1"/>
    <col min="13574" max="13574" width="18.140625" bestFit="1" customWidth="1"/>
    <col min="13824" max="13824" width="57.28515625" customWidth="1"/>
    <col min="13825" max="13825" width="21" bestFit="1" customWidth="1"/>
    <col min="13826" max="13826" width="19.5703125" bestFit="1" customWidth="1"/>
    <col min="13827" max="13828" width="18.42578125" bestFit="1" customWidth="1"/>
    <col min="13829" max="13829" width="18.28515625" bestFit="1" customWidth="1"/>
    <col min="13830" max="13830" width="18.140625" bestFit="1" customWidth="1"/>
    <col min="14080" max="14080" width="57.28515625" customWidth="1"/>
    <col min="14081" max="14081" width="21" bestFit="1" customWidth="1"/>
    <col min="14082" max="14082" width="19.5703125" bestFit="1" customWidth="1"/>
    <col min="14083" max="14084" width="18.42578125" bestFit="1" customWidth="1"/>
    <col min="14085" max="14085" width="18.28515625" bestFit="1" customWidth="1"/>
    <col min="14086" max="14086" width="18.140625" bestFit="1" customWidth="1"/>
    <col min="14336" max="14336" width="57.28515625" customWidth="1"/>
    <col min="14337" max="14337" width="21" bestFit="1" customWidth="1"/>
    <col min="14338" max="14338" width="19.5703125" bestFit="1" customWidth="1"/>
    <col min="14339" max="14340" width="18.42578125" bestFit="1" customWidth="1"/>
    <col min="14341" max="14341" width="18.28515625" bestFit="1" customWidth="1"/>
    <col min="14342" max="14342" width="18.140625" bestFit="1" customWidth="1"/>
    <col min="14592" max="14592" width="57.28515625" customWidth="1"/>
    <col min="14593" max="14593" width="21" bestFit="1" customWidth="1"/>
    <col min="14594" max="14594" width="19.5703125" bestFit="1" customWidth="1"/>
    <col min="14595" max="14596" width="18.42578125" bestFit="1" customWidth="1"/>
    <col min="14597" max="14597" width="18.28515625" bestFit="1" customWidth="1"/>
    <col min="14598" max="14598" width="18.140625" bestFit="1" customWidth="1"/>
    <col min="14848" max="14848" width="57.28515625" customWidth="1"/>
    <col min="14849" max="14849" width="21" bestFit="1" customWidth="1"/>
    <col min="14850" max="14850" width="19.5703125" bestFit="1" customWidth="1"/>
    <col min="14851" max="14852" width="18.42578125" bestFit="1" customWidth="1"/>
    <col min="14853" max="14853" width="18.28515625" bestFit="1" customWidth="1"/>
    <col min="14854" max="14854" width="18.140625" bestFit="1" customWidth="1"/>
    <col min="15104" max="15104" width="57.28515625" customWidth="1"/>
    <col min="15105" max="15105" width="21" bestFit="1" customWidth="1"/>
    <col min="15106" max="15106" width="19.5703125" bestFit="1" customWidth="1"/>
    <col min="15107" max="15108" width="18.42578125" bestFit="1" customWidth="1"/>
    <col min="15109" max="15109" width="18.28515625" bestFit="1" customWidth="1"/>
    <col min="15110" max="15110" width="18.140625" bestFit="1" customWidth="1"/>
    <col min="15360" max="15360" width="57.28515625" customWidth="1"/>
    <col min="15361" max="15361" width="21" bestFit="1" customWidth="1"/>
    <col min="15362" max="15362" width="19.5703125" bestFit="1" customWidth="1"/>
    <col min="15363" max="15364" width="18.42578125" bestFit="1" customWidth="1"/>
    <col min="15365" max="15365" width="18.28515625" bestFit="1" customWidth="1"/>
    <col min="15366" max="15366" width="18.140625" bestFit="1" customWidth="1"/>
    <col min="15616" max="15616" width="57.28515625" customWidth="1"/>
    <col min="15617" max="15617" width="21" bestFit="1" customWidth="1"/>
    <col min="15618" max="15618" width="19.5703125" bestFit="1" customWidth="1"/>
    <col min="15619" max="15620" width="18.42578125" bestFit="1" customWidth="1"/>
    <col min="15621" max="15621" width="18.28515625" bestFit="1" customWidth="1"/>
    <col min="15622" max="15622" width="18.140625" bestFit="1" customWidth="1"/>
    <col min="15872" max="15872" width="57.28515625" customWidth="1"/>
    <col min="15873" max="15873" width="21" bestFit="1" customWidth="1"/>
    <col min="15874" max="15874" width="19.5703125" bestFit="1" customWidth="1"/>
    <col min="15875" max="15876" width="18.42578125" bestFit="1" customWidth="1"/>
    <col min="15877" max="15877" width="18.28515625" bestFit="1" customWidth="1"/>
    <col min="15878" max="15878" width="18.140625" bestFit="1" customWidth="1"/>
    <col min="16128" max="16128" width="57.28515625" customWidth="1"/>
    <col min="16129" max="16129" width="21" bestFit="1" customWidth="1"/>
    <col min="16130" max="16130" width="19.5703125" bestFit="1" customWidth="1"/>
    <col min="16131" max="16132" width="18.42578125" bestFit="1" customWidth="1"/>
    <col min="16133" max="16133" width="18.28515625" bestFit="1" customWidth="1"/>
    <col min="16134" max="16134" width="18.140625" bestFit="1" customWidth="1"/>
  </cols>
  <sheetData>
    <row r="1" spans="1:9" ht="15.75">
      <c r="A1" s="88" t="s">
        <v>455</v>
      </c>
      <c r="B1" s="89"/>
      <c r="C1" s="89"/>
      <c r="D1" s="89"/>
      <c r="E1" s="89"/>
      <c r="F1" s="89"/>
      <c r="G1" s="89"/>
    </row>
    <row r="2" spans="1:9" ht="15.75">
      <c r="A2" s="90"/>
      <c r="B2" s="91"/>
      <c r="C2" s="92"/>
    </row>
    <row r="3" spans="1:9" s="22" customFormat="1" ht="20.100000000000001" customHeight="1">
      <c r="A3" s="93" t="s">
        <v>450</v>
      </c>
      <c r="D3" s="148">
        <f>'Set-Up Worksheet'!F3</f>
        <v>2017</v>
      </c>
      <c r="E3" s="94"/>
      <c r="F3" s="94"/>
      <c r="G3" s="94"/>
    </row>
    <row r="4" spans="1:9" s="30" customFormat="1" ht="20.100000000000001" customHeight="1">
      <c r="A4" s="439" t="s">
        <v>454</v>
      </c>
      <c r="B4" s="96"/>
      <c r="C4" s="97" t="s">
        <v>192</v>
      </c>
      <c r="D4" s="97" t="s">
        <v>154</v>
      </c>
      <c r="E4" s="97" t="s">
        <v>155</v>
      </c>
      <c r="F4" s="97" t="s">
        <v>156</v>
      </c>
      <c r="G4" s="97" t="s">
        <v>157</v>
      </c>
    </row>
    <row r="5" spans="1:9" s="22" customFormat="1" ht="15" customHeight="1">
      <c r="A5" s="95" t="s">
        <v>158</v>
      </c>
      <c r="C5" s="98" t="s">
        <v>159</v>
      </c>
      <c r="D5" s="440" t="str">
        <f>"Jul - Sep "&amp;$D$3-1</f>
        <v>Jul - Sep 2016</v>
      </c>
      <c r="E5" s="440" t="str">
        <f>"Oct - Dec "&amp;$D$3-1</f>
        <v>Oct - Dec 2016</v>
      </c>
      <c r="F5" s="440" t="str">
        <f>"Jan - Mar "&amp;$D$3</f>
        <v>Jan - Mar 2017</v>
      </c>
      <c r="G5" s="440" t="str">
        <f>"Apr - Jun "&amp;$D$3</f>
        <v>Apr - Jun 2017</v>
      </c>
    </row>
    <row r="6" spans="1:9" s="22" customFormat="1" ht="15" customHeight="1">
      <c r="A6" s="439" t="s">
        <v>453</v>
      </c>
      <c r="C6" s="443" t="s">
        <v>477</v>
      </c>
      <c r="D6" s="415" t="str">
        <f>"Nov 17, "&amp;$D$3-1</f>
        <v>Nov 17, 2016</v>
      </c>
      <c r="E6" s="99" t="str">
        <f>"Feb 17, "&amp;$D$3</f>
        <v>Feb 17, 2017</v>
      </c>
      <c r="F6" s="423" t="str">
        <f>"May 17, "&amp;$D$3</f>
        <v>May 17, 2017</v>
      </c>
      <c r="G6" s="99" t="str">
        <f>"Aug 17, "&amp;$D$3</f>
        <v>Aug 17, 2017</v>
      </c>
    </row>
    <row r="7" spans="1:9" s="22" customFormat="1" ht="15" customHeight="1">
      <c r="A7" s="95" t="s">
        <v>160</v>
      </c>
      <c r="C7" s="100" t="s">
        <v>161</v>
      </c>
      <c r="D7" s="101" t="str">
        <f>"Nov 30, "&amp;$D$3-1</f>
        <v>Nov 30, 2016</v>
      </c>
      <c r="E7" s="101" t="str">
        <f>IF(OR($D$3=2012,$D$3=2016,$D$3=2020,$D$3=2024),"Feb 29, ","Feb 28, ")&amp;$D$3</f>
        <v>Feb 28, 2017</v>
      </c>
      <c r="F7" s="101" t="str">
        <f>"May 31, "&amp;$D$3</f>
        <v>May 31, 2017</v>
      </c>
      <c r="G7" s="101" t="str">
        <f>"Aug 31, "&amp;$D$3</f>
        <v>Aug 31, 2017</v>
      </c>
    </row>
    <row r="8" spans="1:9" s="22" customFormat="1" ht="15" customHeight="1">
      <c r="C8" s="102"/>
      <c r="D8" s="103"/>
      <c r="E8" s="103"/>
      <c r="F8" s="103"/>
      <c r="G8" s="103"/>
      <c r="I8" s="523"/>
    </row>
    <row r="9" spans="1:9" s="22" customFormat="1" ht="20.100000000000001" customHeight="1">
      <c r="A9" s="97" t="s">
        <v>162</v>
      </c>
      <c r="B9" s="97" t="s">
        <v>163</v>
      </c>
      <c r="C9" s="97" t="s">
        <v>153</v>
      </c>
      <c r="D9" s="104" t="s">
        <v>191</v>
      </c>
      <c r="E9" s="105"/>
      <c r="F9" s="105"/>
      <c r="G9" s="106"/>
      <c r="I9" s="523"/>
    </row>
    <row r="10" spans="1:9" s="22" customFormat="1" ht="15" customHeight="1">
      <c r="A10" s="107" t="s">
        <v>354</v>
      </c>
      <c r="B10" s="108" t="s">
        <v>164</v>
      </c>
      <c r="C10" s="81" t="s">
        <v>165</v>
      </c>
      <c r="D10" s="149" t="str">
        <f>"Oct "&amp;$D$3-2&amp;" - Sep "&amp;$D$3-1</f>
        <v>Oct 2015 - Sep 2016</v>
      </c>
      <c r="E10" s="149" t="str">
        <f>"Jan "&amp;$D$3-1&amp;" - Dec "&amp;$D$3-1</f>
        <v>Jan 2016 - Dec 2016</v>
      </c>
      <c r="F10" s="149" t="str">
        <f>"Apr "&amp;$D$3-1&amp;" - Mar "&amp;$D$3</f>
        <v>Apr 2016 - Mar 2017</v>
      </c>
      <c r="G10" s="149" t="str">
        <f>"Jul "&amp;$D$3-1&amp;" - Jun "&amp;$D$3</f>
        <v>Jul 2016 - Jun 2017</v>
      </c>
      <c r="I10" s="225"/>
    </row>
    <row r="11" spans="1:9" s="22" customFormat="1" ht="15" customHeight="1">
      <c r="A11" s="109" t="s">
        <v>353</v>
      </c>
      <c r="B11" s="110"/>
      <c r="C11" s="98" t="s">
        <v>166</v>
      </c>
      <c r="D11" s="111" t="str">
        <f>"Oct 31, "&amp;$D$3-1</f>
        <v>Oct 31, 2016</v>
      </c>
      <c r="E11" s="111" t="str">
        <f>"Jan 31, "&amp;$D$3</f>
        <v>Jan 31, 2017</v>
      </c>
      <c r="F11" s="111" t="str">
        <f>"Apr 30, "&amp;$D$3</f>
        <v>Apr 30, 2017</v>
      </c>
      <c r="G11" s="111" t="str">
        <f>"Jul 31, "&amp;$D$3</f>
        <v>Jul 31, 2017</v>
      </c>
      <c r="I11" s="225"/>
    </row>
    <row r="12" spans="1:9" s="22" customFormat="1" ht="15" customHeight="1" thickBot="1">
      <c r="A12" s="112"/>
      <c r="B12" s="113"/>
      <c r="C12" s="114" t="s">
        <v>167</v>
      </c>
      <c r="D12" s="115" t="s">
        <v>168</v>
      </c>
      <c r="E12" s="116" t="s">
        <v>168</v>
      </c>
      <c r="F12" s="116" t="s">
        <v>168</v>
      </c>
      <c r="G12" s="116" t="s">
        <v>168</v>
      </c>
      <c r="I12" s="225"/>
    </row>
    <row r="13" spans="1:9" s="22" customFormat="1" ht="15" customHeight="1" thickTop="1">
      <c r="A13" s="107" t="s">
        <v>355</v>
      </c>
      <c r="B13" s="108" t="s">
        <v>169</v>
      </c>
      <c r="C13" s="100" t="s">
        <v>170</v>
      </c>
      <c r="D13" s="117" t="str">
        <f>"Jul - Sep "&amp;$D$3-1</f>
        <v>Jul - Sep 2016</v>
      </c>
      <c r="E13" s="117" t="str">
        <f>"Oct - Dec "&amp;$D$3-1</f>
        <v>Oct - Dec 2016</v>
      </c>
      <c r="F13" s="117" t="str">
        <f>"Jan - Mar "&amp;$D$3</f>
        <v>Jan - Mar 2017</v>
      </c>
      <c r="G13" s="117" t="str">
        <f>"Apr - Jun "&amp;$D$3</f>
        <v>Apr - Jun 2017</v>
      </c>
      <c r="I13" s="225"/>
    </row>
    <row r="14" spans="1:9" s="22" customFormat="1" ht="15" customHeight="1">
      <c r="A14" s="109" t="s">
        <v>356</v>
      </c>
      <c r="B14" s="110"/>
      <c r="C14" s="98" t="s">
        <v>171</v>
      </c>
      <c r="D14" s="111" t="str">
        <f>"Oct 30, "&amp;$D$3-1</f>
        <v>Oct 30, 2016</v>
      </c>
      <c r="E14" s="111" t="str">
        <f>"Jan 30, "&amp;$D$3</f>
        <v>Jan 30, 2017</v>
      </c>
      <c r="F14" s="111" t="str">
        <f>"Apr 30, "&amp;$D$3</f>
        <v>Apr 30, 2017</v>
      </c>
      <c r="G14" s="111" t="str">
        <f>"Jul 30, "&amp;$D$3</f>
        <v>Jul 30, 2017</v>
      </c>
      <c r="I14" s="225"/>
    </row>
    <row r="15" spans="1:9" s="22" customFormat="1" ht="15" customHeight="1" thickBot="1">
      <c r="A15" s="109"/>
      <c r="B15" s="113"/>
      <c r="C15" s="98" t="s">
        <v>167</v>
      </c>
      <c r="D15" s="115" t="s">
        <v>168</v>
      </c>
      <c r="E15" s="116" t="s">
        <v>168</v>
      </c>
      <c r="F15" s="116" t="s">
        <v>168</v>
      </c>
      <c r="G15" s="116" t="s">
        <v>168</v>
      </c>
      <c r="I15" s="225"/>
    </row>
    <row r="16" spans="1:9" s="22" customFormat="1" ht="15" customHeight="1" thickTop="1">
      <c r="A16" s="122" t="s">
        <v>355</v>
      </c>
      <c r="B16" s="108" t="s">
        <v>169</v>
      </c>
      <c r="C16" s="119" t="s">
        <v>172</v>
      </c>
      <c r="D16" s="120" t="str">
        <f>"Apr - Jun "&amp;$D$3-1</f>
        <v>Apr - Jun 2016</v>
      </c>
      <c r="E16" s="120" t="str">
        <f>"Jul - Sep "&amp;$D$3-1</f>
        <v>Jul - Sep 2016</v>
      </c>
      <c r="F16" s="120" t="str">
        <f>"Oct - Dec "&amp;$D$3-1</f>
        <v>Oct - Dec 2016</v>
      </c>
      <c r="G16" s="120" t="str">
        <f>"Jan - Mar "&amp;$D$3</f>
        <v>Jan - Mar 2017</v>
      </c>
    </row>
    <row r="17" spans="1:9" s="22" customFormat="1" ht="15" customHeight="1">
      <c r="A17" s="109" t="s">
        <v>357</v>
      </c>
      <c r="B17" s="108"/>
      <c r="C17" s="98" t="s">
        <v>173</v>
      </c>
      <c r="D17" s="121" t="str">
        <f>"Oct 31, "&amp;$D$3-1</f>
        <v>Oct 31, 2016</v>
      </c>
      <c r="E17" s="121" t="str">
        <f>"Jan 31, "&amp;$D$3</f>
        <v>Jan 31, 2017</v>
      </c>
      <c r="F17" s="121" t="str">
        <f>"Apr 30, "&amp;$D$3</f>
        <v>Apr 30, 2017</v>
      </c>
      <c r="G17" s="121" t="str">
        <f>"Jul 31, "&amp;$D$3</f>
        <v>Jul 31, 2017</v>
      </c>
    </row>
    <row r="18" spans="1:9" s="22" customFormat="1" ht="15" customHeight="1" thickBot="1">
      <c r="A18" s="109"/>
      <c r="B18" s="113"/>
      <c r="C18" s="98" t="s">
        <v>174</v>
      </c>
      <c r="D18" s="135" t="s">
        <v>177</v>
      </c>
      <c r="E18" s="135" t="s">
        <v>177</v>
      </c>
      <c r="F18" s="135" t="s">
        <v>177</v>
      </c>
      <c r="G18" s="135" t="s">
        <v>177</v>
      </c>
    </row>
    <row r="19" spans="1:9" s="22" customFormat="1" ht="15" customHeight="1" thickTop="1">
      <c r="A19" s="122" t="s">
        <v>358</v>
      </c>
      <c r="B19" s="108" t="s">
        <v>176</v>
      </c>
      <c r="C19" s="119" t="s">
        <v>172</v>
      </c>
      <c r="D19" s="120" t="str">
        <f>"Apr - Jun "&amp;$D$3-1</f>
        <v>Apr - Jun 2016</v>
      </c>
      <c r="E19" s="120" t="str">
        <f>"Jul - Sep "&amp;$D$3-1</f>
        <v>Jul - Sep 2016</v>
      </c>
      <c r="F19" s="120" t="str">
        <f>"Oct - Dec "&amp;$D$3-1</f>
        <v>Oct - Dec 2016</v>
      </c>
      <c r="G19" s="120" t="str">
        <f>"Jan - Mar "&amp;$D$3</f>
        <v>Jan - Mar 2017</v>
      </c>
    </row>
    <row r="20" spans="1:9" s="22" customFormat="1" ht="15" customHeight="1">
      <c r="A20" s="123" t="s">
        <v>360</v>
      </c>
      <c r="B20" s="108"/>
      <c r="C20" s="98" t="s">
        <v>173</v>
      </c>
      <c r="D20" s="121" t="str">
        <f>"Oct 31, "&amp;$D$3-1</f>
        <v>Oct 31, 2016</v>
      </c>
      <c r="E20" s="121" t="str">
        <f>"Jan 31, "&amp;$D$3</f>
        <v>Jan 31, 2017</v>
      </c>
      <c r="F20" s="121" t="str">
        <f>"Apr 30, "&amp;$D$3</f>
        <v>Apr 30, 2017</v>
      </c>
      <c r="G20" s="121" t="str">
        <f>"Jul 31, "&amp;$D$3</f>
        <v>Jul 31, 2017</v>
      </c>
    </row>
    <row r="21" spans="1:9" s="22" customFormat="1" ht="15" customHeight="1" thickBot="1">
      <c r="A21" s="109" t="s">
        <v>359</v>
      </c>
      <c r="B21" s="124"/>
      <c r="C21" s="98" t="s">
        <v>174</v>
      </c>
      <c r="D21" s="115" t="s">
        <v>175</v>
      </c>
      <c r="E21" s="115" t="s">
        <v>175</v>
      </c>
      <c r="F21" s="115" t="s">
        <v>175</v>
      </c>
      <c r="G21" s="115" t="s">
        <v>175</v>
      </c>
    </row>
    <row r="22" spans="1:9" s="22" customFormat="1" ht="15" customHeight="1" thickTop="1">
      <c r="A22" s="122" t="s">
        <v>361</v>
      </c>
      <c r="B22" s="125" t="s">
        <v>176</v>
      </c>
      <c r="C22" s="119" t="s">
        <v>172</v>
      </c>
      <c r="D22" s="120" t="str">
        <f>"Apr - Jun "&amp;$D$3-1</f>
        <v>Apr - Jun 2016</v>
      </c>
      <c r="E22" s="120" t="str">
        <f>"Jul - Sep "&amp;$D$3-1</f>
        <v>Jul - Sep 2016</v>
      </c>
      <c r="F22" s="120" t="str">
        <f>"Oct - Dec "&amp;$D$3-1</f>
        <v>Oct - Dec 2016</v>
      </c>
      <c r="G22" s="120" t="str">
        <f>"Jan - Mar "&amp;$D$3</f>
        <v>Jan - Mar 2017</v>
      </c>
    </row>
    <row r="23" spans="1:9" s="22" customFormat="1" ht="15" customHeight="1">
      <c r="A23" s="109" t="s">
        <v>362</v>
      </c>
      <c r="B23" s="110"/>
      <c r="C23" s="98" t="s">
        <v>173</v>
      </c>
      <c r="D23" s="121" t="str">
        <f>"Oct 31, "&amp;$D$3-1</f>
        <v>Oct 31, 2016</v>
      </c>
      <c r="E23" s="121" t="str">
        <f>"Jan 31, "&amp;$D$3</f>
        <v>Jan 31, 2017</v>
      </c>
      <c r="F23" s="121" t="str">
        <f>"Apr 30, "&amp;$D$3</f>
        <v>Apr 30, 2017</v>
      </c>
      <c r="G23" s="121" t="str">
        <f>"Jul 31, "&amp;$D$3</f>
        <v>Jul 31, 2017</v>
      </c>
    </row>
    <row r="24" spans="1:9" s="22" customFormat="1" ht="15" customHeight="1" thickBot="1">
      <c r="A24" s="109" t="s">
        <v>363</v>
      </c>
      <c r="B24" s="124"/>
      <c r="C24" s="98" t="s">
        <v>174</v>
      </c>
      <c r="D24" s="115" t="s">
        <v>177</v>
      </c>
      <c r="E24" s="115" t="s">
        <v>177</v>
      </c>
      <c r="F24" s="115" t="s">
        <v>177</v>
      </c>
      <c r="G24" s="115" t="s">
        <v>177</v>
      </c>
    </row>
    <row r="25" spans="1:9" s="22" customFormat="1" ht="15" customHeight="1" thickTop="1">
      <c r="A25" s="126" t="s">
        <v>364</v>
      </c>
      <c r="B25" s="125" t="s">
        <v>178</v>
      </c>
      <c r="C25" s="127" t="s">
        <v>170</v>
      </c>
      <c r="D25" s="117" t="str">
        <f>"Jul - Sep "&amp;$D$3-1</f>
        <v>Jul - Sep 2016</v>
      </c>
      <c r="E25" s="117" t="str">
        <f>"Oct - Dec "&amp;$D$3-1</f>
        <v>Oct - Dec 2016</v>
      </c>
      <c r="F25" s="117" t="str">
        <f>"Jan - Mar "&amp;$D$3</f>
        <v>Jan - Mar 2017</v>
      </c>
      <c r="G25" s="117" t="str">
        <f>"Apr - Jun "&amp;$D$3</f>
        <v>Apr - Jun 2017</v>
      </c>
      <c r="I25" s="225"/>
    </row>
    <row r="26" spans="1:9" s="22" customFormat="1" ht="15" customHeight="1">
      <c r="A26" s="109" t="s">
        <v>365</v>
      </c>
      <c r="B26" s="326" t="s">
        <v>179</v>
      </c>
      <c r="C26" s="98" t="s">
        <v>166</v>
      </c>
      <c r="D26" s="121" t="str">
        <f>"Oct 31, "&amp;$D$3-1</f>
        <v>Oct 31, 2016</v>
      </c>
      <c r="E26" s="121" t="str">
        <f>"Jan 31, "&amp;$D$3</f>
        <v>Jan 31, 2017</v>
      </c>
      <c r="F26" s="121" t="str">
        <f>"Apr 30, "&amp;$D$3</f>
        <v>Apr 30, 2017</v>
      </c>
      <c r="G26" s="121" t="str">
        <f>"Jul 31, "&amp;$D$3</f>
        <v>Jul 31, 2017</v>
      </c>
      <c r="I26" s="225"/>
    </row>
    <row r="27" spans="1:9" s="22" customFormat="1" ht="15" customHeight="1" thickBot="1">
      <c r="A27" s="108" t="s">
        <v>180</v>
      </c>
      <c r="B27" s="110"/>
      <c r="C27" s="98" t="s">
        <v>181</v>
      </c>
      <c r="D27" s="115" t="s">
        <v>182</v>
      </c>
      <c r="E27" s="115" t="s">
        <v>182</v>
      </c>
      <c r="F27" s="115" t="s">
        <v>182</v>
      </c>
      <c r="G27" s="115" t="s">
        <v>182</v>
      </c>
      <c r="I27" s="225"/>
    </row>
    <row r="28" spans="1:9" s="22" customFormat="1" ht="15" customHeight="1" thickTop="1">
      <c r="A28" s="118" t="s">
        <v>366</v>
      </c>
      <c r="B28" s="125" t="s">
        <v>183</v>
      </c>
      <c r="C28" s="119" t="s">
        <v>172</v>
      </c>
      <c r="D28" s="120" t="str">
        <f>"Apr - Jun "&amp;$D$3-1</f>
        <v>Apr - Jun 2016</v>
      </c>
      <c r="E28" s="120" t="str">
        <f>"Jul - Sep "&amp;$D$3-1</f>
        <v>Jul - Sep 2016</v>
      </c>
      <c r="F28" s="120" t="str">
        <f>"Oct - Dec "&amp;$D$3-1</f>
        <v>Oct - Dec 2016</v>
      </c>
      <c r="G28" s="120" t="str">
        <f>"Jan - Mar "&amp;$D$3</f>
        <v>Jan - Mar 2017</v>
      </c>
      <c r="I28" s="225"/>
    </row>
    <row r="29" spans="1:9" s="22" customFormat="1" ht="15" customHeight="1">
      <c r="A29" s="326" t="s">
        <v>184</v>
      </c>
      <c r="B29" s="108"/>
      <c r="C29" s="49" t="s">
        <v>166</v>
      </c>
      <c r="D29" s="121" t="str">
        <f>"Oct 31, "&amp;$D$3-1</f>
        <v>Oct 31, 2016</v>
      </c>
      <c r="E29" s="121" t="str">
        <f>"Jan 31, "&amp;$D$3</f>
        <v>Jan 31, 2017</v>
      </c>
      <c r="F29" s="121" t="str">
        <f>"Apr 30, "&amp;$D$3</f>
        <v>Apr 30, 2017</v>
      </c>
      <c r="G29" s="121" t="str">
        <f>"Jul 31, "&amp;$D$3</f>
        <v>Jul 31, 2017</v>
      </c>
      <c r="I29" s="225"/>
    </row>
    <row r="30" spans="1:9" s="22" customFormat="1" ht="15" customHeight="1" thickBot="1">
      <c r="A30" s="109"/>
      <c r="B30" s="113"/>
      <c r="C30" s="49" t="s">
        <v>167</v>
      </c>
      <c r="D30" s="115" t="s">
        <v>175</v>
      </c>
      <c r="E30" s="115" t="s">
        <v>175</v>
      </c>
      <c r="F30" s="115" t="s">
        <v>175</v>
      </c>
      <c r="G30" s="115" t="s">
        <v>175</v>
      </c>
      <c r="I30" s="225"/>
    </row>
    <row r="31" spans="1:9" ht="15" customHeight="1" thickTop="1">
      <c r="A31" s="128" t="s">
        <v>367</v>
      </c>
      <c r="B31" s="129" t="s">
        <v>176</v>
      </c>
      <c r="C31" s="119" t="s">
        <v>172</v>
      </c>
      <c r="D31" s="120" t="str">
        <f>"Apr - Jun "&amp;$D$3-1</f>
        <v>Apr - Jun 2016</v>
      </c>
      <c r="E31" s="120" t="str">
        <f>"Jul - Sep "&amp;$D$3-1</f>
        <v>Jul - Sep 2016</v>
      </c>
      <c r="F31" s="120" t="str">
        <f>"Oct - Dec "&amp;$D$3-1</f>
        <v>Oct - Dec 2016</v>
      </c>
      <c r="G31" s="120" t="str">
        <f>"Jan - Mar "&amp;$D$3</f>
        <v>Jan - Mar 2017</v>
      </c>
    </row>
    <row r="32" spans="1:9" ht="15" customHeight="1">
      <c r="A32" s="130" t="s">
        <v>368</v>
      </c>
      <c r="B32" s="131"/>
      <c r="C32" s="98" t="s">
        <v>173</v>
      </c>
      <c r="D32" s="121" t="str">
        <f>"Oct 31, "&amp;$D$3-1</f>
        <v>Oct 31, 2016</v>
      </c>
      <c r="E32" s="121" t="str">
        <f>"Jan 31, "&amp;$D$3</f>
        <v>Jan 31, 2017</v>
      </c>
      <c r="F32" s="121" t="str">
        <f>"Apr 30, "&amp;$D$3</f>
        <v>Apr 30, 2017</v>
      </c>
      <c r="G32" s="121" t="str">
        <f>"Jul 31, "&amp;$D$3</f>
        <v>Jul 31, 2017</v>
      </c>
    </row>
    <row r="33" spans="1:9" ht="15" customHeight="1" thickBot="1">
      <c r="A33" s="132"/>
      <c r="B33" s="133"/>
      <c r="C33" s="98" t="s">
        <v>174</v>
      </c>
      <c r="D33" s="115" t="s">
        <v>175</v>
      </c>
      <c r="E33" s="115" t="s">
        <v>175</v>
      </c>
      <c r="F33" s="115" t="s">
        <v>175</v>
      </c>
      <c r="G33" s="115" t="s">
        <v>175</v>
      </c>
    </row>
    <row r="34" spans="1:9" ht="15" customHeight="1" thickTop="1">
      <c r="A34" s="128" t="s">
        <v>369</v>
      </c>
      <c r="B34" s="129" t="s">
        <v>176</v>
      </c>
      <c r="C34" s="119" t="s">
        <v>172</v>
      </c>
      <c r="D34" s="120" t="str">
        <f>"Apr - Jun "&amp;$D$3-1</f>
        <v>Apr - Jun 2016</v>
      </c>
      <c r="E34" s="120" t="str">
        <f>"Jul - Sep "&amp;$D$3-1</f>
        <v>Jul - Sep 2016</v>
      </c>
      <c r="F34" s="120" t="str">
        <f>"Oct - Dec "&amp;$D$3-1</f>
        <v>Oct - Dec 2016</v>
      </c>
      <c r="G34" s="120" t="str">
        <f>"Jan - Mar "&amp;$D$3</f>
        <v>Jan - Mar 2017</v>
      </c>
    </row>
    <row r="35" spans="1:9" ht="15" customHeight="1">
      <c r="A35" s="130"/>
      <c r="B35" s="131"/>
      <c r="C35" s="98" t="s">
        <v>173</v>
      </c>
      <c r="D35" s="121" t="str">
        <f>"Oct 31, "&amp;$D$3-1</f>
        <v>Oct 31, 2016</v>
      </c>
      <c r="E35" s="121" t="str">
        <f>"Jan 31, "&amp;$D$3</f>
        <v>Jan 31, 2017</v>
      </c>
      <c r="F35" s="121" t="str">
        <f>"Apr 30, "&amp;$D$3</f>
        <v>Apr 30, 2017</v>
      </c>
      <c r="G35" s="121" t="str">
        <f>"Jul 31, "&amp;$D$3</f>
        <v>Jul 31, 2017</v>
      </c>
    </row>
    <row r="36" spans="1:9" ht="15" customHeight="1" thickBot="1">
      <c r="A36" s="132"/>
      <c r="B36" s="133"/>
      <c r="C36" s="98" t="s">
        <v>174</v>
      </c>
      <c r="D36" s="135" t="s">
        <v>185</v>
      </c>
      <c r="E36" s="115" t="s">
        <v>185</v>
      </c>
      <c r="F36" s="115" t="s">
        <v>185</v>
      </c>
      <c r="G36" s="115" t="s">
        <v>185</v>
      </c>
    </row>
    <row r="37" spans="1:9" ht="15" customHeight="1" thickTop="1">
      <c r="A37" s="128" t="s">
        <v>370</v>
      </c>
      <c r="B37" s="327" t="s">
        <v>178</v>
      </c>
      <c r="C37" s="119" t="s">
        <v>172</v>
      </c>
      <c r="D37" s="120" t="str">
        <f>"Apr - Jun "&amp;$D$3-1</f>
        <v>Apr - Jun 2016</v>
      </c>
      <c r="E37" s="120" t="str">
        <f>"Jul - Sep "&amp;$D$3-1</f>
        <v>Jul - Sep 2016</v>
      </c>
      <c r="F37" s="120" t="str">
        <f>"Oct - Dec "&amp;$D$3-1</f>
        <v>Oct - Dec 2016</v>
      </c>
      <c r="G37" s="120" t="str">
        <f>"Jan - Mar "&amp;$D$3</f>
        <v>Jan - Mar 2017</v>
      </c>
      <c r="I37" s="225"/>
    </row>
    <row r="38" spans="1:9" ht="15" customHeight="1">
      <c r="A38" s="130" t="s">
        <v>372</v>
      </c>
      <c r="B38" s="328" t="s">
        <v>179</v>
      </c>
      <c r="C38" s="98" t="s">
        <v>173</v>
      </c>
      <c r="D38" s="121" t="str">
        <f>"Oct 31, "&amp;$D$3-1</f>
        <v>Oct 31, 2016</v>
      </c>
      <c r="E38" s="121" t="str">
        <f>"Jan 31, "&amp;$D$3</f>
        <v>Jan 31, 2017</v>
      </c>
      <c r="F38" s="121" t="str">
        <f>"Apr 30, "&amp;$D$3</f>
        <v>Apr 30, 2017</v>
      </c>
      <c r="G38" s="121" t="str">
        <f>"Jul 31, "&amp;$D$3</f>
        <v>Jul 31, 2017</v>
      </c>
      <c r="I38" s="225"/>
    </row>
    <row r="39" spans="1:9" ht="15" customHeight="1" thickBot="1">
      <c r="A39" s="130"/>
      <c r="B39" s="133"/>
      <c r="C39" s="98" t="s">
        <v>174</v>
      </c>
      <c r="D39" s="135" t="s">
        <v>185</v>
      </c>
      <c r="E39" s="115" t="s">
        <v>185</v>
      </c>
      <c r="F39" s="115" t="s">
        <v>185</v>
      </c>
      <c r="G39" s="115" t="s">
        <v>185</v>
      </c>
      <c r="I39" s="225"/>
    </row>
    <row r="40" spans="1:9" ht="15" customHeight="1" thickTop="1">
      <c r="A40" s="128" t="s">
        <v>374</v>
      </c>
      <c r="B40" s="129" t="s">
        <v>178</v>
      </c>
      <c r="C40" s="119" t="s">
        <v>186</v>
      </c>
      <c r="D40" s="136" t="str">
        <f>"Jan - Mar "&amp;$D$3-1</f>
        <v>Jan - Mar 2016</v>
      </c>
      <c r="E40" s="136" t="str">
        <f>"Apr - Jun "&amp;$D$3-1</f>
        <v>Apr - Jun 2016</v>
      </c>
      <c r="F40" s="136" t="str">
        <f>"Jul - Sep "&amp;$D$3-1</f>
        <v>Jul - Sep 2016</v>
      </c>
      <c r="G40" s="136" t="str">
        <f>"Oct - Dec "&amp;$D$3-1</f>
        <v>Oct - Dec 2016</v>
      </c>
      <c r="I40" s="225"/>
    </row>
    <row r="41" spans="1:9" ht="15" customHeight="1">
      <c r="A41" s="130" t="s">
        <v>373</v>
      </c>
      <c r="B41" s="326" t="s">
        <v>179</v>
      </c>
      <c r="C41" s="98" t="s">
        <v>166</v>
      </c>
      <c r="D41" s="121" t="str">
        <f>"Oct 31, "&amp;$D$3-1</f>
        <v>Oct 31, 2016</v>
      </c>
      <c r="E41" s="121" t="str">
        <f>"Jan 31, "&amp;$D$3</f>
        <v>Jan 31, 2017</v>
      </c>
      <c r="F41" s="121" t="str">
        <f>"Apr 30, "&amp;$D$3</f>
        <v>Apr 30, 2017</v>
      </c>
      <c r="G41" s="121" t="str">
        <f>"Jul 31, "&amp;$D$3</f>
        <v>Jul 31, 2017</v>
      </c>
      <c r="I41" s="225"/>
    </row>
    <row r="42" spans="1:9" ht="15" customHeight="1" thickBot="1">
      <c r="A42" s="137"/>
      <c r="B42" s="138"/>
      <c r="C42" s="139" t="s">
        <v>187</v>
      </c>
      <c r="D42" s="116" t="s">
        <v>182</v>
      </c>
      <c r="E42" s="116" t="s">
        <v>182</v>
      </c>
      <c r="F42" s="116" t="s">
        <v>182</v>
      </c>
      <c r="G42" s="116" t="s">
        <v>182</v>
      </c>
      <c r="I42" s="225"/>
    </row>
    <row r="43" spans="1:9" ht="15" customHeight="1" thickTop="1">
      <c r="A43" s="128" t="s">
        <v>371</v>
      </c>
      <c r="B43" s="129" t="s">
        <v>176</v>
      </c>
      <c r="C43" s="119" t="s">
        <v>172</v>
      </c>
      <c r="D43" s="120" t="str">
        <f>"Apr - Jun "&amp;$D$3-1</f>
        <v>Apr - Jun 2016</v>
      </c>
      <c r="E43" s="120" t="str">
        <f>"Jul - Sep "&amp;$D$3-1</f>
        <v>Jul - Sep 2016</v>
      </c>
      <c r="F43" s="120" t="str">
        <f>"Oct - Dec "&amp;$D$3-1</f>
        <v>Oct - Dec 2016</v>
      </c>
      <c r="G43" s="120" t="str">
        <f>"Jan - Mar "&amp;$D$3</f>
        <v>Jan - Mar 2017</v>
      </c>
    </row>
    <row r="44" spans="1:9" ht="15" customHeight="1">
      <c r="A44" s="130" t="s">
        <v>375</v>
      </c>
      <c r="B44" s="131"/>
      <c r="C44" s="98" t="s">
        <v>173</v>
      </c>
      <c r="D44" s="121" t="str">
        <f>"Oct 31, "&amp;$D$3-1</f>
        <v>Oct 31, 2016</v>
      </c>
      <c r="E44" s="121" t="str">
        <f>"Jan 31, "&amp;$D$3</f>
        <v>Jan 31, 2017</v>
      </c>
      <c r="F44" s="121" t="str">
        <f>"Apr 30, "&amp;$D$3</f>
        <v>Apr 30, 2017</v>
      </c>
      <c r="G44" s="121" t="str">
        <f>"Jul 31, "&amp;$D$3</f>
        <v>Jul 31, 2017</v>
      </c>
    </row>
    <row r="45" spans="1:9" ht="15" customHeight="1" thickBot="1">
      <c r="A45" s="130"/>
      <c r="B45" s="133"/>
      <c r="C45" s="98" t="s">
        <v>174</v>
      </c>
      <c r="D45" s="135" t="s">
        <v>185</v>
      </c>
      <c r="E45" s="115" t="s">
        <v>185</v>
      </c>
      <c r="F45" s="115" t="s">
        <v>185</v>
      </c>
      <c r="G45" s="115" t="s">
        <v>185</v>
      </c>
    </row>
    <row r="46" spans="1:9" ht="15" customHeight="1" thickTop="1">
      <c r="A46" s="134" t="s">
        <v>376</v>
      </c>
      <c r="B46" s="129" t="s">
        <v>178</v>
      </c>
      <c r="C46" s="119" t="s">
        <v>172</v>
      </c>
      <c r="D46" s="120" t="str">
        <f>"Apr - Jun "&amp;$D$3-1</f>
        <v>Apr - Jun 2016</v>
      </c>
      <c r="E46" s="120" t="str">
        <f>"Jul - Sep "&amp;$D$3-1</f>
        <v>Jul - Sep 2016</v>
      </c>
      <c r="F46" s="120" t="str">
        <f>"Oct - Dec "&amp;$D$3-1</f>
        <v>Oct - Dec 2016</v>
      </c>
      <c r="G46" s="120" t="str">
        <f>"Jan - Mar "&amp;$D$3</f>
        <v>Jan - Mar 2017</v>
      </c>
    </row>
    <row r="47" spans="1:9" ht="15" customHeight="1">
      <c r="A47" s="130" t="s">
        <v>377</v>
      </c>
      <c r="B47" s="131" t="s">
        <v>176</v>
      </c>
      <c r="C47" s="98" t="s">
        <v>173</v>
      </c>
      <c r="D47" s="121" t="str">
        <f>"Oct 31, "&amp;$D$3-1</f>
        <v>Oct 31, 2016</v>
      </c>
      <c r="E47" s="121" t="str">
        <f>"Jan 31, "&amp;$D$3</f>
        <v>Jan 31, 2017</v>
      </c>
      <c r="F47" s="121" t="str">
        <f>"Apr 30, "&amp;$D$3</f>
        <v>Apr 30, 2017</v>
      </c>
      <c r="G47" s="121" t="str">
        <f>"Jul 31, "&amp;$D$3</f>
        <v>Jul 31, 2017</v>
      </c>
    </row>
    <row r="48" spans="1:9" ht="15" customHeight="1" thickBot="1">
      <c r="A48" s="130" t="s">
        <v>378</v>
      </c>
      <c r="B48" s="133"/>
      <c r="C48" s="98" t="s">
        <v>174</v>
      </c>
      <c r="D48" s="115" t="s">
        <v>175</v>
      </c>
      <c r="E48" s="115" t="s">
        <v>175</v>
      </c>
      <c r="F48" s="115" t="s">
        <v>175</v>
      </c>
      <c r="G48" s="115" t="s">
        <v>175</v>
      </c>
    </row>
    <row r="49" spans="1:9" ht="15" customHeight="1" thickTop="1">
      <c r="A49" s="128" t="s">
        <v>379</v>
      </c>
      <c r="B49" s="140" t="s">
        <v>176</v>
      </c>
      <c r="C49" s="119" t="s">
        <v>172</v>
      </c>
      <c r="D49" s="120" t="str">
        <f>"Apr - Jun "&amp;$D$3-1</f>
        <v>Apr - Jun 2016</v>
      </c>
      <c r="E49" s="120" t="str">
        <f>"Jul - Sep "&amp;$D$3-1</f>
        <v>Jul - Sep 2016</v>
      </c>
      <c r="F49" s="120" t="str">
        <f>"Oct - Dec "&amp;$D$3-1</f>
        <v>Oct - Dec 2016</v>
      </c>
      <c r="G49" s="120" t="str">
        <f>"Jan - Mar "&amp;$D$3</f>
        <v>Jan - Mar 2017</v>
      </c>
    </row>
    <row r="50" spans="1:9" ht="15" customHeight="1">
      <c r="A50" s="130" t="s">
        <v>380</v>
      </c>
      <c r="B50" s="141"/>
      <c r="C50" s="98" t="s">
        <v>173</v>
      </c>
      <c r="D50" s="121" t="str">
        <f>"Oct 31, "&amp;$D$3-1</f>
        <v>Oct 31, 2016</v>
      </c>
      <c r="E50" s="121" t="str">
        <f>"Jan 31, "&amp;$D$3</f>
        <v>Jan 31, 2017</v>
      </c>
      <c r="F50" s="121" t="str">
        <f>"Apr 30, "&amp;$D$3</f>
        <v>Apr 30, 2017</v>
      </c>
      <c r="G50" s="121" t="str">
        <f>"Jul 31, "&amp;$D$3</f>
        <v>Jul 31, 2017</v>
      </c>
    </row>
    <row r="51" spans="1:9" ht="15" customHeight="1" thickBot="1">
      <c r="A51" s="142"/>
      <c r="B51" s="133"/>
      <c r="C51" s="98" t="s">
        <v>174</v>
      </c>
      <c r="D51" s="115" t="s">
        <v>175</v>
      </c>
      <c r="E51" s="115" t="s">
        <v>175</v>
      </c>
      <c r="F51" s="115" t="s">
        <v>175</v>
      </c>
      <c r="G51" s="115" t="s">
        <v>175</v>
      </c>
    </row>
    <row r="52" spans="1:9" ht="15" customHeight="1" thickTop="1">
      <c r="A52" s="128" t="s">
        <v>381</v>
      </c>
      <c r="B52" s="140" t="s">
        <v>176</v>
      </c>
      <c r="C52" s="119" t="s">
        <v>172</v>
      </c>
      <c r="D52" s="120" t="str">
        <f>"Apr - Jun "&amp;$D$3-1</f>
        <v>Apr - Jun 2016</v>
      </c>
      <c r="E52" s="120" t="str">
        <f>"Jul - Sep "&amp;$D$3-1</f>
        <v>Jul - Sep 2016</v>
      </c>
      <c r="F52" s="120" t="str">
        <f>"Oct - Dec "&amp;$D$3-1</f>
        <v>Oct - Dec 2016</v>
      </c>
      <c r="G52" s="120" t="str">
        <f>"Jan - Mar "&amp;$D$3</f>
        <v>Jan - Mar 2017</v>
      </c>
    </row>
    <row r="53" spans="1:9" ht="15" customHeight="1">
      <c r="A53" s="130"/>
      <c r="B53" s="141"/>
      <c r="C53" s="98" t="s">
        <v>173</v>
      </c>
      <c r="D53" s="121" t="str">
        <f>"Oct 31, "&amp;$D$3-1</f>
        <v>Oct 31, 2016</v>
      </c>
      <c r="E53" s="121" t="str">
        <f>"Jan 31, "&amp;$D$3</f>
        <v>Jan 31, 2017</v>
      </c>
      <c r="F53" s="121" t="str">
        <f>"Apr 30, "&amp;$D$3</f>
        <v>Apr 30, 2017</v>
      </c>
      <c r="G53" s="121" t="str">
        <f>"Jul 31, "&amp;$D$3</f>
        <v>Jul 31, 2017</v>
      </c>
    </row>
    <row r="54" spans="1:9" ht="15" customHeight="1" thickBot="1">
      <c r="A54" s="142"/>
      <c r="B54" s="133"/>
      <c r="C54" s="98" t="s">
        <v>174</v>
      </c>
      <c r="D54" s="143" t="s">
        <v>175</v>
      </c>
      <c r="E54" s="143" t="s">
        <v>175</v>
      </c>
      <c r="F54" s="143" t="s">
        <v>175</v>
      </c>
      <c r="G54" s="143" t="s">
        <v>175</v>
      </c>
    </row>
    <row r="55" spans="1:9" ht="15" customHeight="1" thickTop="1">
      <c r="A55" s="128" t="s">
        <v>382</v>
      </c>
      <c r="B55" s="140" t="s">
        <v>188</v>
      </c>
      <c r="C55" s="119" t="s">
        <v>189</v>
      </c>
      <c r="D55" s="144" t="str">
        <f>"Jul "&amp;$D$3-2&amp;" - Jun "&amp;$D$3-1</f>
        <v>Jul 2015 - Jun 2016</v>
      </c>
      <c r="E55" s="144" t="str">
        <f>"Oct "&amp;$D$3-2&amp;" - Sep "&amp;$D$3-1</f>
        <v>Oct 2015 - Sep 2016</v>
      </c>
      <c r="F55" s="144" t="str">
        <f>"Jan "&amp;$D$3-1&amp;" - Dec "&amp;$D$3-1</f>
        <v>Jan 2016 - Dec 2016</v>
      </c>
      <c r="G55" s="144" t="str">
        <f>"Apr "&amp;$D$3-1&amp;" - Mar "&amp;$D$3</f>
        <v>Apr 2016 - Mar 2017</v>
      </c>
      <c r="I55" s="225"/>
    </row>
    <row r="56" spans="1:9" ht="15" customHeight="1">
      <c r="A56" s="132"/>
      <c r="B56" s="131" t="s">
        <v>176</v>
      </c>
      <c r="C56" s="98" t="s">
        <v>173</v>
      </c>
      <c r="D56" s="121" t="str">
        <f>"Oct 31, "&amp;$D$3-1</f>
        <v>Oct 31, 2016</v>
      </c>
      <c r="E56" s="121" t="str">
        <f>"Jan 31, "&amp;$D$3</f>
        <v>Jan 31, 2017</v>
      </c>
      <c r="F56" s="121" t="str">
        <f>"Apr 30, "&amp;$D$3</f>
        <v>Apr 30, 2017</v>
      </c>
      <c r="G56" s="121" t="str">
        <f>"Jul 31, "&amp;$D$3</f>
        <v>Jul 31, 2017</v>
      </c>
      <c r="I56" s="225"/>
    </row>
    <row r="57" spans="1:9" ht="15" customHeight="1">
      <c r="A57" s="145"/>
      <c r="B57" s="133"/>
      <c r="C57" s="98" t="s">
        <v>174</v>
      </c>
      <c r="D57" s="143" t="s">
        <v>175</v>
      </c>
      <c r="E57" s="143" t="s">
        <v>175</v>
      </c>
      <c r="F57" s="143" t="s">
        <v>175</v>
      </c>
      <c r="G57" s="143" t="s">
        <v>175</v>
      </c>
      <c r="I57" s="225"/>
    </row>
    <row r="58" spans="1:9" ht="15" customHeight="1">
      <c r="A58" s="146" t="s">
        <v>190</v>
      </c>
    </row>
    <row r="59" spans="1:9">
      <c r="A59" s="446" t="s">
        <v>478</v>
      </c>
    </row>
  </sheetData>
  <sheetProtection sheet="1" objects="1" scenarios="1"/>
  <mergeCells count="1">
    <mergeCell ref="I8:I9"/>
  </mergeCells>
  <printOptions horizontalCentered="1"/>
  <pageMargins left="0.3" right="0.3" top="0.5" bottom="0.5" header="0.5" footer="0.5"/>
  <pageSetup scale="61" orientation="landscape"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N60"/>
  <sheetViews>
    <sheetView showGridLines="0" workbookViewId="0">
      <pane ySplit="10" topLeftCell="A11" activePane="bottomLeft" state="frozen"/>
      <selection activeCell="A18" sqref="A18"/>
      <selection pane="bottomLeft" activeCell="L18" sqref="L18"/>
    </sheetView>
  </sheetViews>
  <sheetFormatPr defaultRowHeight="12.75"/>
  <cols>
    <col min="1" max="1" width="57.28515625" customWidth="1"/>
    <col min="2" max="2" width="21" bestFit="1" customWidth="1"/>
    <col min="3" max="3" width="19.5703125" bestFit="1" customWidth="1"/>
    <col min="4" max="5" width="18.42578125" hidden="1" customWidth="1"/>
    <col min="6" max="6" width="18.28515625" hidden="1" customWidth="1"/>
    <col min="7" max="7" width="18.140625" bestFit="1" customWidth="1"/>
    <col min="8" max="9" width="18.42578125" bestFit="1" customWidth="1"/>
    <col min="10" max="10" width="18.28515625" customWidth="1"/>
    <col min="11" max="11" width="18.140625" customWidth="1"/>
    <col min="13" max="13" width="11.42578125" customWidth="1"/>
    <col min="261" max="261" width="57.28515625" customWidth="1"/>
    <col min="262" max="262" width="21" bestFit="1" customWidth="1"/>
    <col min="263" max="263" width="19.5703125" bestFit="1" customWidth="1"/>
    <col min="264" max="265" width="18.42578125" bestFit="1" customWidth="1"/>
    <col min="266" max="266" width="18.28515625" bestFit="1" customWidth="1"/>
    <col min="267" max="267" width="18.140625" bestFit="1" customWidth="1"/>
    <col min="517" max="517" width="57.28515625" customWidth="1"/>
    <col min="518" max="518" width="21" bestFit="1" customWidth="1"/>
    <col min="519" max="519" width="19.5703125" bestFit="1" customWidth="1"/>
    <col min="520" max="521" width="18.42578125" bestFit="1" customWidth="1"/>
    <col min="522" max="522" width="18.28515625" bestFit="1" customWidth="1"/>
    <col min="523" max="523" width="18.140625" bestFit="1" customWidth="1"/>
    <col min="773" max="773" width="57.28515625" customWidth="1"/>
    <col min="774" max="774" width="21" bestFit="1" customWidth="1"/>
    <col min="775" max="775" width="19.5703125" bestFit="1" customWidth="1"/>
    <col min="776" max="777" width="18.42578125" bestFit="1" customWidth="1"/>
    <col min="778" max="778" width="18.28515625" bestFit="1" customWidth="1"/>
    <col min="779" max="779" width="18.140625" bestFit="1" customWidth="1"/>
    <col min="1029" max="1029" width="57.28515625" customWidth="1"/>
    <col min="1030" max="1030" width="21" bestFit="1" customWidth="1"/>
    <col min="1031" max="1031" width="19.5703125" bestFit="1" customWidth="1"/>
    <col min="1032" max="1033" width="18.42578125" bestFit="1" customWidth="1"/>
    <col min="1034" max="1034" width="18.28515625" bestFit="1" customWidth="1"/>
    <col min="1035" max="1035" width="18.140625" bestFit="1" customWidth="1"/>
    <col min="1285" max="1285" width="57.28515625" customWidth="1"/>
    <col min="1286" max="1286" width="21" bestFit="1" customWidth="1"/>
    <col min="1287" max="1287" width="19.5703125" bestFit="1" customWidth="1"/>
    <col min="1288" max="1289" width="18.42578125" bestFit="1" customWidth="1"/>
    <col min="1290" max="1290" width="18.28515625" bestFit="1" customWidth="1"/>
    <col min="1291" max="1291" width="18.140625" bestFit="1" customWidth="1"/>
    <col min="1541" max="1541" width="57.28515625" customWidth="1"/>
    <col min="1542" max="1542" width="21" bestFit="1" customWidth="1"/>
    <col min="1543" max="1543" width="19.5703125" bestFit="1" customWidth="1"/>
    <col min="1544" max="1545" width="18.42578125" bestFit="1" customWidth="1"/>
    <col min="1546" max="1546" width="18.28515625" bestFit="1" customWidth="1"/>
    <col min="1547" max="1547" width="18.140625" bestFit="1" customWidth="1"/>
    <col min="1797" max="1797" width="57.28515625" customWidth="1"/>
    <col min="1798" max="1798" width="21" bestFit="1" customWidth="1"/>
    <col min="1799" max="1799" width="19.5703125" bestFit="1" customWidth="1"/>
    <col min="1800" max="1801" width="18.42578125" bestFit="1" customWidth="1"/>
    <col min="1802" max="1802" width="18.28515625" bestFit="1" customWidth="1"/>
    <col min="1803" max="1803" width="18.140625" bestFit="1" customWidth="1"/>
    <col min="2053" max="2053" width="57.28515625" customWidth="1"/>
    <col min="2054" max="2054" width="21" bestFit="1" customWidth="1"/>
    <col min="2055" max="2055" width="19.5703125" bestFit="1" customWidth="1"/>
    <col min="2056" max="2057" width="18.42578125" bestFit="1" customWidth="1"/>
    <col min="2058" max="2058" width="18.28515625" bestFit="1" customWidth="1"/>
    <col min="2059" max="2059" width="18.140625" bestFit="1" customWidth="1"/>
    <col min="2309" max="2309" width="57.28515625" customWidth="1"/>
    <col min="2310" max="2310" width="21" bestFit="1" customWidth="1"/>
    <col min="2311" max="2311" width="19.5703125" bestFit="1" customWidth="1"/>
    <col min="2312" max="2313" width="18.42578125" bestFit="1" customWidth="1"/>
    <col min="2314" max="2314" width="18.28515625" bestFit="1" customWidth="1"/>
    <col min="2315" max="2315" width="18.140625" bestFit="1" customWidth="1"/>
    <col min="2565" max="2565" width="57.28515625" customWidth="1"/>
    <col min="2566" max="2566" width="21" bestFit="1" customWidth="1"/>
    <col min="2567" max="2567" width="19.5703125" bestFit="1" customWidth="1"/>
    <col min="2568" max="2569" width="18.42578125" bestFit="1" customWidth="1"/>
    <col min="2570" max="2570" width="18.28515625" bestFit="1" customWidth="1"/>
    <col min="2571" max="2571" width="18.140625" bestFit="1" customWidth="1"/>
    <col min="2821" max="2821" width="57.28515625" customWidth="1"/>
    <col min="2822" max="2822" width="21" bestFit="1" customWidth="1"/>
    <col min="2823" max="2823" width="19.5703125" bestFit="1" customWidth="1"/>
    <col min="2824" max="2825" width="18.42578125" bestFit="1" customWidth="1"/>
    <col min="2826" max="2826" width="18.28515625" bestFit="1" customWidth="1"/>
    <col min="2827" max="2827" width="18.140625" bestFit="1" customWidth="1"/>
    <col min="3077" max="3077" width="57.28515625" customWidth="1"/>
    <col min="3078" max="3078" width="21" bestFit="1" customWidth="1"/>
    <col min="3079" max="3079" width="19.5703125" bestFit="1" customWidth="1"/>
    <col min="3080" max="3081" width="18.42578125" bestFit="1" customWidth="1"/>
    <col min="3082" max="3082" width="18.28515625" bestFit="1" customWidth="1"/>
    <col min="3083" max="3083" width="18.140625" bestFit="1" customWidth="1"/>
    <col min="3333" max="3333" width="57.28515625" customWidth="1"/>
    <col min="3334" max="3334" width="21" bestFit="1" customWidth="1"/>
    <col min="3335" max="3335" width="19.5703125" bestFit="1" customWidth="1"/>
    <col min="3336" max="3337" width="18.42578125" bestFit="1" customWidth="1"/>
    <col min="3338" max="3338" width="18.28515625" bestFit="1" customWidth="1"/>
    <col min="3339" max="3339" width="18.140625" bestFit="1" customWidth="1"/>
    <col min="3589" max="3589" width="57.28515625" customWidth="1"/>
    <col min="3590" max="3590" width="21" bestFit="1" customWidth="1"/>
    <col min="3591" max="3591" width="19.5703125" bestFit="1" customWidth="1"/>
    <col min="3592" max="3593" width="18.42578125" bestFit="1" customWidth="1"/>
    <col min="3594" max="3594" width="18.28515625" bestFit="1" customWidth="1"/>
    <col min="3595" max="3595" width="18.140625" bestFit="1" customWidth="1"/>
    <col min="3845" max="3845" width="57.28515625" customWidth="1"/>
    <col min="3846" max="3846" width="21" bestFit="1" customWidth="1"/>
    <col min="3847" max="3847" width="19.5703125" bestFit="1" customWidth="1"/>
    <col min="3848" max="3849" width="18.42578125" bestFit="1" customWidth="1"/>
    <col min="3850" max="3850" width="18.28515625" bestFit="1" customWidth="1"/>
    <col min="3851" max="3851" width="18.140625" bestFit="1" customWidth="1"/>
    <col min="4101" max="4101" width="57.28515625" customWidth="1"/>
    <col min="4102" max="4102" width="21" bestFit="1" customWidth="1"/>
    <col min="4103" max="4103" width="19.5703125" bestFit="1" customWidth="1"/>
    <col min="4104" max="4105" width="18.42578125" bestFit="1" customWidth="1"/>
    <col min="4106" max="4106" width="18.28515625" bestFit="1" customWidth="1"/>
    <col min="4107" max="4107" width="18.140625" bestFit="1" customWidth="1"/>
    <col min="4357" max="4357" width="57.28515625" customWidth="1"/>
    <col min="4358" max="4358" width="21" bestFit="1" customWidth="1"/>
    <col min="4359" max="4359" width="19.5703125" bestFit="1" customWidth="1"/>
    <col min="4360" max="4361" width="18.42578125" bestFit="1" customWidth="1"/>
    <col min="4362" max="4362" width="18.28515625" bestFit="1" customWidth="1"/>
    <col min="4363" max="4363" width="18.140625" bestFit="1" customWidth="1"/>
    <col min="4613" max="4613" width="57.28515625" customWidth="1"/>
    <col min="4614" max="4614" width="21" bestFit="1" customWidth="1"/>
    <col min="4615" max="4615" width="19.5703125" bestFit="1" customWidth="1"/>
    <col min="4616" max="4617" width="18.42578125" bestFit="1" customWidth="1"/>
    <col min="4618" max="4618" width="18.28515625" bestFit="1" customWidth="1"/>
    <col min="4619" max="4619" width="18.140625" bestFit="1" customWidth="1"/>
    <col min="4869" max="4869" width="57.28515625" customWidth="1"/>
    <col min="4870" max="4870" width="21" bestFit="1" customWidth="1"/>
    <col min="4871" max="4871" width="19.5703125" bestFit="1" customWidth="1"/>
    <col min="4872" max="4873" width="18.42578125" bestFit="1" customWidth="1"/>
    <col min="4874" max="4874" width="18.28515625" bestFit="1" customWidth="1"/>
    <col min="4875" max="4875" width="18.140625" bestFit="1" customWidth="1"/>
    <col min="5125" max="5125" width="57.28515625" customWidth="1"/>
    <col min="5126" max="5126" width="21" bestFit="1" customWidth="1"/>
    <col min="5127" max="5127" width="19.5703125" bestFit="1" customWidth="1"/>
    <col min="5128" max="5129" width="18.42578125" bestFit="1" customWidth="1"/>
    <col min="5130" max="5130" width="18.28515625" bestFit="1" customWidth="1"/>
    <col min="5131" max="5131" width="18.140625" bestFit="1" customWidth="1"/>
    <col min="5381" max="5381" width="57.28515625" customWidth="1"/>
    <col min="5382" max="5382" width="21" bestFit="1" customWidth="1"/>
    <col min="5383" max="5383" width="19.5703125" bestFit="1" customWidth="1"/>
    <col min="5384" max="5385" width="18.42578125" bestFit="1" customWidth="1"/>
    <col min="5386" max="5386" width="18.28515625" bestFit="1" customWidth="1"/>
    <col min="5387" max="5387" width="18.140625" bestFit="1" customWidth="1"/>
    <col min="5637" max="5637" width="57.28515625" customWidth="1"/>
    <col min="5638" max="5638" width="21" bestFit="1" customWidth="1"/>
    <col min="5639" max="5639" width="19.5703125" bestFit="1" customWidth="1"/>
    <col min="5640" max="5641" width="18.42578125" bestFit="1" customWidth="1"/>
    <col min="5642" max="5642" width="18.28515625" bestFit="1" customWidth="1"/>
    <col min="5643" max="5643" width="18.140625" bestFit="1" customWidth="1"/>
    <col min="5893" max="5893" width="57.28515625" customWidth="1"/>
    <col min="5894" max="5894" width="21" bestFit="1" customWidth="1"/>
    <col min="5895" max="5895" width="19.5703125" bestFit="1" customWidth="1"/>
    <col min="5896" max="5897" width="18.42578125" bestFit="1" customWidth="1"/>
    <col min="5898" max="5898" width="18.28515625" bestFit="1" customWidth="1"/>
    <col min="5899" max="5899" width="18.140625" bestFit="1" customWidth="1"/>
    <col min="6149" max="6149" width="57.28515625" customWidth="1"/>
    <col min="6150" max="6150" width="21" bestFit="1" customWidth="1"/>
    <col min="6151" max="6151" width="19.5703125" bestFit="1" customWidth="1"/>
    <col min="6152" max="6153" width="18.42578125" bestFit="1" customWidth="1"/>
    <col min="6154" max="6154" width="18.28515625" bestFit="1" customWidth="1"/>
    <col min="6155" max="6155" width="18.140625" bestFit="1" customWidth="1"/>
    <col min="6405" max="6405" width="57.28515625" customWidth="1"/>
    <col min="6406" max="6406" width="21" bestFit="1" customWidth="1"/>
    <col min="6407" max="6407" width="19.5703125" bestFit="1" customWidth="1"/>
    <col min="6408" max="6409" width="18.42578125" bestFit="1" customWidth="1"/>
    <col min="6410" max="6410" width="18.28515625" bestFit="1" customWidth="1"/>
    <col min="6411" max="6411" width="18.140625" bestFit="1" customWidth="1"/>
    <col min="6661" max="6661" width="57.28515625" customWidth="1"/>
    <col min="6662" max="6662" width="21" bestFit="1" customWidth="1"/>
    <col min="6663" max="6663" width="19.5703125" bestFit="1" customWidth="1"/>
    <col min="6664" max="6665" width="18.42578125" bestFit="1" customWidth="1"/>
    <col min="6666" max="6666" width="18.28515625" bestFit="1" customWidth="1"/>
    <col min="6667" max="6667" width="18.140625" bestFit="1" customWidth="1"/>
    <col min="6917" max="6917" width="57.28515625" customWidth="1"/>
    <col min="6918" max="6918" width="21" bestFit="1" customWidth="1"/>
    <col min="6919" max="6919" width="19.5703125" bestFit="1" customWidth="1"/>
    <col min="6920" max="6921" width="18.42578125" bestFit="1" customWidth="1"/>
    <col min="6922" max="6922" width="18.28515625" bestFit="1" customWidth="1"/>
    <col min="6923" max="6923" width="18.140625" bestFit="1" customWidth="1"/>
    <col min="7173" max="7173" width="57.28515625" customWidth="1"/>
    <col min="7174" max="7174" width="21" bestFit="1" customWidth="1"/>
    <col min="7175" max="7175" width="19.5703125" bestFit="1" customWidth="1"/>
    <col min="7176" max="7177" width="18.42578125" bestFit="1" customWidth="1"/>
    <col min="7178" max="7178" width="18.28515625" bestFit="1" customWidth="1"/>
    <col min="7179" max="7179" width="18.140625" bestFit="1" customWidth="1"/>
    <col min="7429" max="7429" width="57.28515625" customWidth="1"/>
    <col min="7430" max="7430" width="21" bestFit="1" customWidth="1"/>
    <col min="7431" max="7431" width="19.5703125" bestFit="1" customWidth="1"/>
    <col min="7432" max="7433" width="18.42578125" bestFit="1" customWidth="1"/>
    <col min="7434" max="7434" width="18.28515625" bestFit="1" customWidth="1"/>
    <col min="7435" max="7435" width="18.140625" bestFit="1" customWidth="1"/>
    <col min="7685" max="7685" width="57.28515625" customWidth="1"/>
    <col min="7686" max="7686" width="21" bestFit="1" customWidth="1"/>
    <col min="7687" max="7687" width="19.5703125" bestFit="1" customWidth="1"/>
    <col min="7688" max="7689" width="18.42578125" bestFit="1" customWidth="1"/>
    <col min="7690" max="7690" width="18.28515625" bestFit="1" customWidth="1"/>
    <col min="7691" max="7691" width="18.140625" bestFit="1" customWidth="1"/>
    <col min="7941" max="7941" width="57.28515625" customWidth="1"/>
    <col min="7942" max="7942" width="21" bestFit="1" customWidth="1"/>
    <col min="7943" max="7943" width="19.5703125" bestFit="1" customWidth="1"/>
    <col min="7944" max="7945" width="18.42578125" bestFit="1" customWidth="1"/>
    <col min="7946" max="7946" width="18.28515625" bestFit="1" customWidth="1"/>
    <col min="7947" max="7947" width="18.140625" bestFit="1" customWidth="1"/>
    <col min="8197" max="8197" width="57.28515625" customWidth="1"/>
    <col min="8198" max="8198" width="21" bestFit="1" customWidth="1"/>
    <col min="8199" max="8199" width="19.5703125" bestFit="1" customWidth="1"/>
    <col min="8200" max="8201" width="18.42578125" bestFit="1" customWidth="1"/>
    <col min="8202" max="8202" width="18.28515625" bestFit="1" customWidth="1"/>
    <col min="8203" max="8203" width="18.140625" bestFit="1" customWidth="1"/>
    <col min="8453" max="8453" width="57.28515625" customWidth="1"/>
    <col min="8454" max="8454" width="21" bestFit="1" customWidth="1"/>
    <col min="8455" max="8455" width="19.5703125" bestFit="1" customWidth="1"/>
    <col min="8456" max="8457" width="18.42578125" bestFit="1" customWidth="1"/>
    <col min="8458" max="8458" width="18.28515625" bestFit="1" customWidth="1"/>
    <col min="8459" max="8459" width="18.140625" bestFit="1" customWidth="1"/>
    <col min="8709" max="8709" width="57.28515625" customWidth="1"/>
    <col min="8710" max="8710" width="21" bestFit="1" customWidth="1"/>
    <col min="8711" max="8711" width="19.5703125" bestFit="1" customWidth="1"/>
    <col min="8712" max="8713" width="18.42578125" bestFit="1" customWidth="1"/>
    <col min="8714" max="8714" width="18.28515625" bestFit="1" customWidth="1"/>
    <col min="8715" max="8715" width="18.140625" bestFit="1" customWidth="1"/>
    <col min="8965" max="8965" width="57.28515625" customWidth="1"/>
    <col min="8966" max="8966" width="21" bestFit="1" customWidth="1"/>
    <col min="8967" max="8967" width="19.5703125" bestFit="1" customWidth="1"/>
    <col min="8968" max="8969" width="18.42578125" bestFit="1" customWidth="1"/>
    <col min="8970" max="8970" width="18.28515625" bestFit="1" customWidth="1"/>
    <col min="8971" max="8971" width="18.140625" bestFit="1" customWidth="1"/>
    <col min="9221" max="9221" width="57.28515625" customWidth="1"/>
    <col min="9222" max="9222" width="21" bestFit="1" customWidth="1"/>
    <col min="9223" max="9223" width="19.5703125" bestFit="1" customWidth="1"/>
    <col min="9224" max="9225" width="18.42578125" bestFit="1" customWidth="1"/>
    <col min="9226" max="9226" width="18.28515625" bestFit="1" customWidth="1"/>
    <col min="9227" max="9227" width="18.140625" bestFit="1" customWidth="1"/>
    <col min="9477" max="9477" width="57.28515625" customWidth="1"/>
    <col min="9478" max="9478" width="21" bestFit="1" customWidth="1"/>
    <col min="9479" max="9479" width="19.5703125" bestFit="1" customWidth="1"/>
    <col min="9480" max="9481" width="18.42578125" bestFit="1" customWidth="1"/>
    <col min="9482" max="9482" width="18.28515625" bestFit="1" customWidth="1"/>
    <col min="9483" max="9483" width="18.140625" bestFit="1" customWidth="1"/>
    <col min="9733" max="9733" width="57.28515625" customWidth="1"/>
    <col min="9734" max="9734" width="21" bestFit="1" customWidth="1"/>
    <col min="9735" max="9735" width="19.5703125" bestFit="1" customWidth="1"/>
    <col min="9736" max="9737" width="18.42578125" bestFit="1" customWidth="1"/>
    <col min="9738" max="9738" width="18.28515625" bestFit="1" customWidth="1"/>
    <col min="9739" max="9739" width="18.140625" bestFit="1" customWidth="1"/>
    <col min="9989" max="9989" width="57.28515625" customWidth="1"/>
    <col min="9990" max="9990" width="21" bestFit="1" customWidth="1"/>
    <col min="9991" max="9991" width="19.5703125" bestFit="1" customWidth="1"/>
    <col min="9992" max="9993" width="18.42578125" bestFit="1" customWidth="1"/>
    <col min="9994" max="9994" width="18.28515625" bestFit="1" customWidth="1"/>
    <col min="9995" max="9995" width="18.140625" bestFit="1" customWidth="1"/>
    <col min="10245" max="10245" width="57.28515625" customWidth="1"/>
    <col min="10246" max="10246" width="21" bestFit="1" customWidth="1"/>
    <col min="10247" max="10247" width="19.5703125" bestFit="1" customWidth="1"/>
    <col min="10248" max="10249" width="18.42578125" bestFit="1" customWidth="1"/>
    <col min="10250" max="10250" width="18.28515625" bestFit="1" customWidth="1"/>
    <col min="10251" max="10251" width="18.140625" bestFit="1" customWidth="1"/>
    <col min="10501" max="10501" width="57.28515625" customWidth="1"/>
    <col min="10502" max="10502" width="21" bestFit="1" customWidth="1"/>
    <col min="10503" max="10503" width="19.5703125" bestFit="1" customWidth="1"/>
    <col min="10504" max="10505" width="18.42578125" bestFit="1" customWidth="1"/>
    <col min="10506" max="10506" width="18.28515625" bestFit="1" customWidth="1"/>
    <col min="10507" max="10507" width="18.140625" bestFit="1" customWidth="1"/>
    <col min="10757" max="10757" width="57.28515625" customWidth="1"/>
    <col min="10758" max="10758" width="21" bestFit="1" customWidth="1"/>
    <col min="10759" max="10759" width="19.5703125" bestFit="1" customWidth="1"/>
    <col min="10760" max="10761" width="18.42578125" bestFit="1" customWidth="1"/>
    <col min="10762" max="10762" width="18.28515625" bestFit="1" customWidth="1"/>
    <col min="10763" max="10763" width="18.140625" bestFit="1" customWidth="1"/>
    <col min="11013" max="11013" width="57.28515625" customWidth="1"/>
    <col min="11014" max="11014" width="21" bestFit="1" customWidth="1"/>
    <col min="11015" max="11015" width="19.5703125" bestFit="1" customWidth="1"/>
    <col min="11016" max="11017" width="18.42578125" bestFit="1" customWidth="1"/>
    <col min="11018" max="11018" width="18.28515625" bestFit="1" customWidth="1"/>
    <col min="11019" max="11019" width="18.140625" bestFit="1" customWidth="1"/>
    <col min="11269" max="11269" width="57.28515625" customWidth="1"/>
    <col min="11270" max="11270" width="21" bestFit="1" customWidth="1"/>
    <col min="11271" max="11271" width="19.5703125" bestFit="1" customWidth="1"/>
    <col min="11272" max="11273" width="18.42578125" bestFit="1" customWidth="1"/>
    <col min="11274" max="11274" width="18.28515625" bestFit="1" customWidth="1"/>
    <col min="11275" max="11275" width="18.140625" bestFit="1" customWidth="1"/>
    <col min="11525" max="11525" width="57.28515625" customWidth="1"/>
    <col min="11526" max="11526" width="21" bestFit="1" customWidth="1"/>
    <col min="11527" max="11527" width="19.5703125" bestFit="1" customWidth="1"/>
    <col min="11528" max="11529" width="18.42578125" bestFit="1" customWidth="1"/>
    <col min="11530" max="11530" width="18.28515625" bestFit="1" customWidth="1"/>
    <col min="11531" max="11531" width="18.140625" bestFit="1" customWidth="1"/>
    <col min="11781" max="11781" width="57.28515625" customWidth="1"/>
    <col min="11782" max="11782" width="21" bestFit="1" customWidth="1"/>
    <col min="11783" max="11783" width="19.5703125" bestFit="1" customWidth="1"/>
    <col min="11784" max="11785" width="18.42578125" bestFit="1" customWidth="1"/>
    <col min="11786" max="11786" width="18.28515625" bestFit="1" customWidth="1"/>
    <col min="11787" max="11787" width="18.140625" bestFit="1" customWidth="1"/>
    <col min="12037" max="12037" width="57.28515625" customWidth="1"/>
    <col min="12038" max="12038" width="21" bestFit="1" customWidth="1"/>
    <col min="12039" max="12039" width="19.5703125" bestFit="1" customWidth="1"/>
    <col min="12040" max="12041" width="18.42578125" bestFit="1" customWidth="1"/>
    <col min="12042" max="12042" width="18.28515625" bestFit="1" customWidth="1"/>
    <col min="12043" max="12043" width="18.140625" bestFit="1" customWidth="1"/>
    <col min="12293" max="12293" width="57.28515625" customWidth="1"/>
    <col min="12294" max="12294" width="21" bestFit="1" customWidth="1"/>
    <col min="12295" max="12295" width="19.5703125" bestFit="1" customWidth="1"/>
    <col min="12296" max="12297" width="18.42578125" bestFit="1" customWidth="1"/>
    <col min="12298" max="12298" width="18.28515625" bestFit="1" customWidth="1"/>
    <col min="12299" max="12299" width="18.140625" bestFit="1" customWidth="1"/>
    <col min="12549" max="12549" width="57.28515625" customWidth="1"/>
    <col min="12550" max="12550" width="21" bestFit="1" customWidth="1"/>
    <col min="12551" max="12551" width="19.5703125" bestFit="1" customWidth="1"/>
    <col min="12552" max="12553" width="18.42578125" bestFit="1" customWidth="1"/>
    <col min="12554" max="12554" width="18.28515625" bestFit="1" customWidth="1"/>
    <col min="12555" max="12555" width="18.140625" bestFit="1" customWidth="1"/>
    <col min="12805" max="12805" width="57.28515625" customWidth="1"/>
    <col min="12806" max="12806" width="21" bestFit="1" customWidth="1"/>
    <col min="12807" max="12807" width="19.5703125" bestFit="1" customWidth="1"/>
    <col min="12808" max="12809" width="18.42578125" bestFit="1" customWidth="1"/>
    <col min="12810" max="12810" width="18.28515625" bestFit="1" customWidth="1"/>
    <col min="12811" max="12811" width="18.140625" bestFit="1" customWidth="1"/>
    <col min="13061" max="13061" width="57.28515625" customWidth="1"/>
    <col min="13062" max="13062" width="21" bestFit="1" customWidth="1"/>
    <col min="13063" max="13063" width="19.5703125" bestFit="1" customWidth="1"/>
    <col min="13064" max="13065" width="18.42578125" bestFit="1" customWidth="1"/>
    <col min="13066" max="13066" width="18.28515625" bestFit="1" customWidth="1"/>
    <col min="13067" max="13067" width="18.140625" bestFit="1" customWidth="1"/>
    <col min="13317" max="13317" width="57.28515625" customWidth="1"/>
    <col min="13318" max="13318" width="21" bestFit="1" customWidth="1"/>
    <col min="13319" max="13319" width="19.5703125" bestFit="1" customWidth="1"/>
    <col min="13320" max="13321" width="18.42578125" bestFit="1" customWidth="1"/>
    <col min="13322" max="13322" width="18.28515625" bestFit="1" customWidth="1"/>
    <col min="13323" max="13323" width="18.140625" bestFit="1" customWidth="1"/>
    <col min="13573" max="13573" width="57.28515625" customWidth="1"/>
    <col min="13574" max="13574" width="21" bestFit="1" customWidth="1"/>
    <col min="13575" max="13575" width="19.5703125" bestFit="1" customWidth="1"/>
    <col min="13576" max="13577" width="18.42578125" bestFit="1" customWidth="1"/>
    <col min="13578" max="13578" width="18.28515625" bestFit="1" customWidth="1"/>
    <col min="13579" max="13579" width="18.140625" bestFit="1" customWidth="1"/>
    <col min="13829" max="13829" width="57.28515625" customWidth="1"/>
    <col min="13830" max="13830" width="21" bestFit="1" customWidth="1"/>
    <col min="13831" max="13831" width="19.5703125" bestFit="1" customWidth="1"/>
    <col min="13832" max="13833" width="18.42578125" bestFit="1" customWidth="1"/>
    <col min="13834" max="13834" width="18.28515625" bestFit="1" customWidth="1"/>
    <col min="13835" max="13835" width="18.140625" bestFit="1" customWidth="1"/>
    <col min="14085" max="14085" width="57.28515625" customWidth="1"/>
    <col min="14086" max="14086" width="21" bestFit="1" customWidth="1"/>
    <col min="14087" max="14087" width="19.5703125" bestFit="1" customWidth="1"/>
    <col min="14088" max="14089" width="18.42578125" bestFit="1" customWidth="1"/>
    <col min="14090" max="14090" width="18.28515625" bestFit="1" customWidth="1"/>
    <col min="14091" max="14091" width="18.140625" bestFit="1" customWidth="1"/>
    <col min="14341" max="14341" width="57.28515625" customWidth="1"/>
    <col min="14342" max="14342" width="21" bestFit="1" customWidth="1"/>
    <col min="14343" max="14343" width="19.5703125" bestFit="1" customWidth="1"/>
    <col min="14344" max="14345" width="18.42578125" bestFit="1" customWidth="1"/>
    <col min="14346" max="14346" width="18.28515625" bestFit="1" customWidth="1"/>
    <col min="14347" max="14347" width="18.140625" bestFit="1" customWidth="1"/>
    <col min="14597" max="14597" width="57.28515625" customWidth="1"/>
    <col min="14598" max="14598" width="21" bestFit="1" customWidth="1"/>
    <col min="14599" max="14599" width="19.5703125" bestFit="1" customWidth="1"/>
    <col min="14600" max="14601" width="18.42578125" bestFit="1" customWidth="1"/>
    <col min="14602" max="14602" width="18.28515625" bestFit="1" customWidth="1"/>
    <col min="14603" max="14603" width="18.140625" bestFit="1" customWidth="1"/>
    <col min="14853" max="14853" width="57.28515625" customWidth="1"/>
    <col min="14854" max="14854" width="21" bestFit="1" customWidth="1"/>
    <col min="14855" max="14855" width="19.5703125" bestFit="1" customWidth="1"/>
    <col min="14856" max="14857" width="18.42578125" bestFit="1" customWidth="1"/>
    <col min="14858" max="14858" width="18.28515625" bestFit="1" customWidth="1"/>
    <col min="14859" max="14859" width="18.140625" bestFit="1" customWidth="1"/>
    <col min="15109" max="15109" width="57.28515625" customWidth="1"/>
    <col min="15110" max="15110" width="21" bestFit="1" customWidth="1"/>
    <col min="15111" max="15111" width="19.5703125" bestFit="1" customWidth="1"/>
    <col min="15112" max="15113" width="18.42578125" bestFit="1" customWidth="1"/>
    <col min="15114" max="15114" width="18.28515625" bestFit="1" customWidth="1"/>
    <col min="15115" max="15115" width="18.140625" bestFit="1" customWidth="1"/>
    <col min="15365" max="15365" width="57.28515625" customWidth="1"/>
    <col min="15366" max="15366" width="21" bestFit="1" customWidth="1"/>
    <col min="15367" max="15367" width="19.5703125" bestFit="1" customWidth="1"/>
    <col min="15368" max="15369" width="18.42578125" bestFit="1" customWidth="1"/>
    <col min="15370" max="15370" width="18.28515625" bestFit="1" customWidth="1"/>
    <col min="15371" max="15371" width="18.140625" bestFit="1" customWidth="1"/>
    <col min="15621" max="15621" width="57.28515625" customWidth="1"/>
    <col min="15622" max="15622" width="21" bestFit="1" customWidth="1"/>
    <col min="15623" max="15623" width="19.5703125" bestFit="1" customWidth="1"/>
    <col min="15624" max="15625" width="18.42578125" bestFit="1" customWidth="1"/>
    <col min="15626" max="15626" width="18.28515625" bestFit="1" customWidth="1"/>
    <col min="15627" max="15627" width="18.140625" bestFit="1" customWidth="1"/>
    <col min="15877" max="15877" width="57.28515625" customWidth="1"/>
    <col min="15878" max="15878" width="21" bestFit="1" customWidth="1"/>
    <col min="15879" max="15879" width="19.5703125" bestFit="1" customWidth="1"/>
    <col min="15880" max="15881" width="18.42578125" bestFit="1" customWidth="1"/>
    <col min="15882" max="15882" width="18.28515625" bestFit="1" customWidth="1"/>
    <col min="15883" max="15883" width="18.140625" bestFit="1" customWidth="1"/>
    <col min="16133" max="16133" width="57.28515625" customWidth="1"/>
    <col min="16134" max="16134" width="21" bestFit="1" customWidth="1"/>
    <col min="16135" max="16135" width="19.5703125" bestFit="1" customWidth="1"/>
    <col min="16136" max="16137" width="18.42578125" bestFit="1" customWidth="1"/>
    <col min="16138" max="16138" width="18.28515625" bestFit="1" customWidth="1"/>
    <col min="16139" max="16139" width="18.140625" bestFit="1" customWidth="1"/>
  </cols>
  <sheetData>
    <row r="1" spans="1:13" ht="15.75">
      <c r="A1" s="88" t="s">
        <v>455</v>
      </c>
      <c r="B1" s="89"/>
      <c r="C1" s="89"/>
      <c r="D1" s="89"/>
      <c r="E1" s="89"/>
      <c r="F1" s="89"/>
      <c r="G1" s="89"/>
      <c r="H1" s="89"/>
      <c r="I1" s="89"/>
      <c r="J1" s="89"/>
      <c r="K1" s="89"/>
    </row>
    <row r="2" spans="1:13" ht="15.75">
      <c r="A2" s="88"/>
      <c r="B2" s="89"/>
      <c r="C2" s="89"/>
      <c r="D2" s="89"/>
      <c r="E2" s="89"/>
      <c r="F2" s="89"/>
      <c r="G2" s="89"/>
      <c r="H2" s="89"/>
      <c r="I2" s="89"/>
      <c r="J2" s="89"/>
      <c r="K2" s="89"/>
    </row>
    <row r="3" spans="1:13" ht="15.75">
      <c r="A3" s="90"/>
      <c r="B3" s="91"/>
      <c r="C3" s="92"/>
    </row>
    <row r="4" spans="1:13" s="22" customFormat="1" ht="20.100000000000001" customHeight="1">
      <c r="A4" s="93" t="s">
        <v>450</v>
      </c>
      <c r="E4" s="94"/>
      <c r="F4" s="94"/>
      <c r="G4" s="148">
        <f>H4-1</f>
        <v>2016</v>
      </c>
      <c r="H4" s="148">
        <f>'Set-Up Worksheet'!F3</f>
        <v>2017</v>
      </c>
      <c r="I4" s="430"/>
      <c r="J4" s="94"/>
      <c r="K4" s="94"/>
    </row>
    <row r="5" spans="1:13" s="30" customFormat="1" ht="20.100000000000001" customHeight="1">
      <c r="A5" s="439" t="s">
        <v>454</v>
      </c>
      <c r="B5" s="96"/>
      <c r="C5" s="97" t="s">
        <v>192</v>
      </c>
      <c r="D5" s="97" t="s">
        <v>154</v>
      </c>
      <c r="E5" s="97" t="s">
        <v>155</v>
      </c>
      <c r="F5" s="97" t="s">
        <v>156</v>
      </c>
      <c r="G5" s="97" t="s">
        <v>157</v>
      </c>
      <c r="H5" s="414" t="s">
        <v>154</v>
      </c>
      <c r="I5" s="97" t="s">
        <v>155</v>
      </c>
      <c r="J5" s="422" t="s">
        <v>156</v>
      </c>
      <c r="K5" s="97" t="s">
        <v>157</v>
      </c>
    </row>
    <row r="6" spans="1:13" s="22" customFormat="1" ht="15" customHeight="1">
      <c r="A6" s="95" t="s">
        <v>158</v>
      </c>
      <c r="C6" s="98" t="s">
        <v>159</v>
      </c>
      <c r="D6" s="99" t="str">
        <f>"Jul - Sep "&amp;$G$4-1</f>
        <v>Jul - Sep 2015</v>
      </c>
      <c r="E6" s="99" t="str">
        <f>"Oct - Dec "&amp;$G$4-1</f>
        <v>Oct - Dec 2015</v>
      </c>
      <c r="F6" s="99" t="str">
        <f>"Jan - Mar "&amp;$G$4</f>
        <v>Jan - Mar 2016</v>
      </c>
      <c r="G6" s="440" t="str">
        <f>"Apr - Jun "&amp;$G$4</f>
        <v>Apr - Jun 2016</v>
      </c>
      <c r="H6" s="441" t="str">
        <f>"Jul - Sep "&amp;$H$4-1</f>
        <v>Jul - Sep 2016</v>
      </c>
      <c r="I6" s="440" t="str">
        <f>"Oct - Dec "&amp;$H$4-1</f>
        <v>Oct - Dec 2016</v>
      </c>
      <c r="J6" s="442" t="str">
        <f>"Jan - Mar "&amp;$H$4</f>
        <v>Jan - Mar 2017</v>
      </c>
      <c r="K6" s="440" t="str">
        <f>"Apr - Jun "&amp;$H$4</f>
        <v>Apr - Jun 2017</v>
      </c>
    </row>
    <row r="7" spans="1:13" s="22" customFormat="1" ht="15" customHeight="1">
      <c r="A7" s="439" t="s">
        <v>453</v>
      </c>
      <c r="C7" s="443" t="s">
        <v>477</v>
      </c>
      <c r="D7" s="99"/>
      <c r="E7" s="99"/>
      <c r="F7" s="99"/>
      <c r="G7" s="99" t="str">
        <f>"Aug 17, "&amp;$G$4</f>
        <v>Aug 17, 2016</v>
      </c>
      <c r="H7" s="415" t="str">
        <f>"Nov 17, "&amp;$H$4-1</f>
        <v>Nov 17, 2016</v>
      </c>
      <c r="I7" s="99" t="str">
        <f>"Feb 17, "&amp;$H$4</f>
        <v>Feb 17, 2017</v>
      </c>
      <c r="J7" s="423" t="str">
        <f>"May 17, "&amp;$H$4</f>
        <v>May 17, 2017</v>
      </c>
      <c r="K7" s="99" t="str">
        <f>"Aug 17, "&amp;$H$4</f>
        <v>Aug 17, 2017</v>
      </c>
    </row>
    <row r="8" spans="1:13" s="22" customFormat="1" ht="15" customHeight="1">
      <c r="A8" s="95" t="s">
        <v>160</v>
      </c>
      <c r="C8" s="100" t="s">
        <v>161</v>
      </c>
      <c r="D8" s="101" t="str">
        <f>"Nov 30, "&amp;$G$4-1</f>
        <v>Nov 30, 2015</v>
      </c>
      <c r="E8" s="101" t="str">
        <f>IF(OR($G$4=2012,$G$4=2016,$G$4=2020,$G$4=2024),"Feb 29, ","Feb 28, ")&amp;$G$4</f>
        <v>Feb 29, 2016</v>
      </c>
      <c r="F8" s="101" t="str">
        <f>"May 31, "&amp;$G$4</f>
        <v>May 31, 2016</v>
      </c>
      <c r="G8" s="101" t="str">
        <f>"Aug 31, "&amp;$G$4</f>
        <v>Aug 31, 2016</v>
      </c>
      <c r="H8" s="416" t="str">
        <f>"Nov 30, "&amp;$H$4-1</f>
        <v>Nov 30, 2016</v>
      </c>
      <c r="I8" s="101" t="str">
        <f>IF(OR($H$4=2012,$H$4=2016,$H$4=2020,$H$4=2024),"Feb 29, ","Feb 28, ")&amp;$H$4</f>
        <v>Feb 28, 2017</v>
      </c>
      <c r="J8" s="424" t="str">
        <f>"May 31, "&amp;$H$4</f>
        <v>May 31, 2017</v>
      </c>
      <c r="K8" s="101" t="str">
        <f>"Aug 31, "&amp;$H$4</f>
        <v>Aug 31, 2017</v>
      </c>
    </row>
    <row r="9" spans="1:13" s="22" customFormat="1" ht="15" customHeight="1">
      <c r="C9" s="102"/>
      <c r="D9" s="103"/>
      <c r="E9" s="103"/>
      <c r="F9" s="103"/>
      <c r="G9" s="103"/>
      <c r="H9" s="103"/>
      <c r="I9" s="433"/>
      <c r="J9" s="103"/>
      <c r="K9" s="103"/>
      <c r="M9" s="523" t="s">
        <v>384</v>
      </c>
    </row>
    <row r="10" spans="1:13" s="22" customFormat="1" ht="20.100000000000001" customHeight="1" thickBot="1">
      <c r="A10" s="97" t="s">
        <v>162</v>
      </c>
      <c r="B10" s="97" t="s">
        <v>163</v>
      </c>
      <c r="C10" s="97" t="s">
        <v>153</v>
      </c>
      <c r="D10" s="104" t="s">
        <v>191</v>
      </c>
      <c r="E10" s="105"/>
      <c r="F10" s="105"/>
      <c r="G10" s="104" t="s">
        <v>191</v>
      </c>
      <c r="H10" s="434"/>
      <c r="I10" s="434"/>
      <c r="J10" s="105"/>
      <c r="K10" s="106"/>
      <c r="M10" s="523"/>
    </row>
    <row r="11" spans="1:13" s="22" customFormat="1" ht="15" hidden="1" customHeight="1">
      <c r="A11" s="107" t="s">
        <v>354</v>
      </c>
      <c r="B11" s="108" t="s">
        <v>164</v>
      </c>
      <c r="C11" s="81" t="s">
        <v>165</v>
      </c>
      <c r="D11" s="149" t="str">
        <f>"Oct "&amp;$G$4-2&amp;" - Sep "&amp;$G$4-1</f>
        <v>Oct 2014 - Sep 2015</v>
      </c>
      <c r="E11" s="149" t="str">
        <f>"Jan "&amp;$G$4-1&amp;" - Dec "&amp;$G$4-1</f>
        <v>Jan 2015 - Dec 2015</v>
      </c>
      <c r="F11" s="149" t="str">
        <f>"Apr "&amp;$G$4-1&amp;" - Mar "&amp;$G$4</f>
        <v>Apr 2015 - Mar 2016</v>
      </c>
      <c r="G11" s="149" t="str">
        <f>"Jul "&amp;$G$4-1&amp;" - Jun "&amp;$G$4</f>
        <v>Jul 2015 - Jun 2016</v>
      </c>
      <c r="H11" s="149" t="str">
        <f>"Oct "&amp;$H$4-2&amp;" - Sep "&amp;$H$4-1</f>
        <v>Oct 2015 - Sep 2016</v>
      </c>
      <c r="I11" s="149" t="str">
        <f>"Jan "&amp;$H$4-1&amp;" - Dec "&amp;$H$4-1</f>
        <v>Jan 2016 - Dec 2016</v>
      </c>
      <c r="J11" s="149" t="str">
        <f>"Apr "&amp;$H$4-1&amp;" - Mar "&amp;$H$4</f>
        <v>Apr 2016 - Mar 2017</v>
      </c>
      <c r="K11" s="149" t="str">
        <f>"Jul "&amp;$H$4-1&amp;" - Jun "&amp;$H$4</f>
        <v>Jul 2016 - Jun 2017</v>
      </c>
      <c r="M11" s="225" t="s">
        <v>383</v>
      </c>
    </row>
    <row r="12" spans="1:13" s="22" customFormat="1" ht="15" hidden="1" customHeight="1">
      <c r="A12" s="109" t="s">
        <v>353</v>
      </c>
      <c r="B12" s="110"/>
      <c r="C12" s="98" t="s">
        <v>166</v>
      </c>
      <c r="D12" s="111" t="str">
        <f>"Oct 30, "&amp;$G$4-1</f>
        <v>Oct 30, 2015</v>
      </c>
      <c r="E12" s="111" t="str">
        <f>"Jan 30, "&amp;$G$4</f>
        <v>Jan 30, 2016</v>
      </c>
      <c r="F12" s="111" t="str">
        <f>"Apr 30, "&amp;$G$4</f>
        <v>Apr 30, 2016</v>
      </c>
      <c r="G12" s="111" t="str">
        <f>"Jul 31, "&amp;$G$4</f>
        <v>Jul 31, 2016</v>
      </c>
      <c r="H12" s="111" t="str">
        <f>"Oct 31, "&amp;$H$4-1</f>
        <v>Oct 31, 2016</v>
      </c>
      <c r="I12" s="111" t="str">
        <f>"Jan 31, "&amp;$H$4</f>
        <v>Jan 31, 2017</v>
      </c>
      <c r="J12" s="111" t="str">
        <f>"Apr 30, "&amp;$H$4</f>
        <v>Apr 30, 2017</v>
      </c>
      <c r="K12" s="111" t="str">
        <f>"Jul 31, "&amp;$H$4</f>
        <v>Jul 31, 2017</v>
      </c>
      <c r="M12" s="225" t="s">
        <v>383</v>
      </c>
    </row>
    <row r="13" spans="1:13" s="22" customFormat="1" ht="15" hidden="1" customHeight="1" thickBot="1">
      <c r="A13" s="112"/>
      <c r="B13" s="113"/>
      <c r="C13" s="114" t="s">
        <v>167</v>
      </c>
      <c r="D13" s="115" t="s">
        <v>168</v>
      </c>
      <c r="E13" s="116" t="s">
        <v>168</v>
      </c>
      <c r="F13" s="116" t="s">
        <v>168</v>
      </c>
      <c r="G13" s="116" t="s">
        <v>168</v>
      </c>
      <c r="H13" s="115" t="s">
        <v>168</v>
      </c>
      <c r="I13" s="116" t="s">
        <v>168</v>
      </c>
      <c r="J13" s="116" t="s">
        <v>168</v>
      </c>
      <c r="K13" s="116" t="s">
        <v>168</v>
      </c>
      <c r="M13" s="225" t="s">
        <v>383</v>
      </c>
    </row>
    <row r="14" spans="1:13" s="22" customFormat="1" ht="15" hidden="1" customHeight="1" thickTop="1">
      <c r="A14" s="107" t="s">
        <v>355</v>
      </c>
      <c r="B14" s="108" t="s">
        <v>169</v>
      </c>
      <c r="C14" s="100" t="s">
        <v>170</v>
      </c>
      <c r="D14" s="117" t="str">
        <f>"Jul - Sep "&amp;$G$4-1</f>
        <v>Jul - Sep 2015</v>
      </c>
      <c r="E14" s="117" t="str">
        <f>"Oct - Dec "&amp;$G$4-1</f>
        <v>Oct - Dec 2015</v>
      </c>
      <c r="F14" s="117" t="str">
        <f>"Jan - Mar "&amp;$G$4</f>
        <v>Jan - Mar 2016</v>
      </c>
      <c r="G14" s="117" t="str">
        <f>"Apr - Jun "&amp;$G$4</f>
        <v>Apr - Jun 2016</v>
      </c>
      <c r="H14" s="117" t="str">
        <f>"Jul - Sep "&amp;$H$4-1</f>
        <v>Jul - Sep 2016</v>
      </c>
      <c r="I14" s="117" t="str">
        <f>"Oct - Dec "&amp;$H$4-1</f>
        <v>Oct - Dec 2016</v>
      </c>
      <c r="J14" s="117" t="str">
        <f>"Jan - Mar "&amp;$H$4</f>
        <v>Jan - Mar 2017</v>
      </c>
      <c r="K14" s="117" t="str">
        <f>"Apr - Jun "&amp;$H$4</f>
        <v>Apr - Jun 2017</v>
      </c>
      <c r="M14" s="225" t="s">
        <v>383</v>
      </c>
    </row>
    <row r="15" spans="1:13" s="22" customFormat="1" ht="15" hidden="1" customHeight="1">
      <c r="A15" s="109" t="s">
        <v>356</v>
      </c>
      <c r="B15" s="110"/>
      <c r="C15" s="98" t="s">
        <v>171</v>
      </c>
      <c r="D15" s="111" t="str">
        <f>"Oct 30, "&amp;$G$4-1</f>
        <v>Oct 30, 2015</v>
      </c>
      <c r="E15" s="111" t="str">
        <f>"Jan 30, "&amp;$G$4</f>
        <v>Jan 30, 2016</v>
      </c>
      <c r="F15" s="111" t="str">
        <f>"Apr 30, "&amp;$G$4</f>
        <v>Apr 30, 2016</v>
      </c>
      <c r="G15" s="111" t="str">
        <f>"Jul 30, "&amp;$G$4</f>
        <v>Jul 30, 2016</v>
      </c>
      <c r="H15" s="111" t="str">
        <f>"Oct 30, "&amp;$H$4-1</f>
        <v>Oct 30, 2016</v>
      </c>
      <c r="I15" s="111" t="str">
        <f>"Jan 30, "&amp;$H$4</f>
        <v>Jan 30, 2017</v>
      </c>
      <c r="J15" s="111" t="str">
        <f>"Apr 30, "&amp;$H$4</f>
        <v>Apr 30, 2017</v>
      </c>
      <c r="K15" s="111" t="str">
        <f>"Jul 30, "&amp;$H$4</f>
        <v>Jul 30, 2017</v>
      </c>
      <c r="M15" s="225" t="s">
        <v>383</v>
      </c>
    </row>
    <row r="16" spans="1:13" s="22" customFormat="1" ht="15" hidden="1" customHeight="1" thickBot="1">
      <c r="A16" s="109"/>
      <c r="B16" s="113"/>
      <c r="C16" s="98" t="s">
        <v>167</v>
      </c>
      <c r="D16" s="115" t="s">
        <v>168</v>
      </c>
      <c r="E16" s="116" t="s">
        <v>168</v>
      </c>
      <c r="F16" s="116" t="s">
        <v>168</v>
      </c>
      <c r="G16" s="116" t="s">
        <v>168</v>
      </c>
      <c r="H16" s="115" t="s">
        <v>168</v>
      </c>
      <c r="I16" s="431" t="s">
        <v>168</v>
      </c>
      <c r="J16" s="116" t="s">
        <v>168</v>
      </c>
      <c r="K16" s="116" t="s">
        <v>168</v>
      </c>
      <c r="M16" s="225" t="s">
        <v>383</v>
      </c>
    </row>
    <row r="17" spans="1:14" s="22" customFormat="1" ht="15" customHeight="1" thickTop="1">
      <c r="A17" s="122" t="s">
        <v>355</v>
      </c>
      <c r="B17" s="125" t="s">
        <v>169</v>
      </c>
      <c r="C17" s="119" t="s">
        <v>172</v>
      </c>
      <c r="D17" s="120" t="str">
        <f>"Apr - Jun "&amp;$G$4-1</f>
        <v>Apr - Jun 2015</v>
      </c>
      <c r="E17" s="120" t="str">
        <f>"Jul - Sep "&amp;$G$4-1</f>
        <v>Jul - Sep 2015</v>
      </c>
      <c r="F17" s="120" t="str">
        <f>"Oct - Dec "&amp;$G$4-1</f>
        <v>Oct - Dec 2015</v>
      </c>
      <c r="G17" s="435" t="str">
        <f>"Jan - Mar "&amp;$G$4</f>
        <v>Jan - Mar 2016</v>
      </c>
      <c r="H17" s="437" t="str">
        <f>"Apr - Jun "&amp;$H$4-1</f>
        <v>Apr - Jun 2016</v>
      </c>
      <c r="I17" s="435" t="str">
        <f>"Jul - Sep "&amp;$H$4-1</f>
        <v>Jul - Sep 2016</v>
      </c>
      <c r="J17" s="438" t="str">
        <f>"Oct - Dec "&amp;$H$4-1</f>
        <v>Oct - Dec 2016</v>
      </c>
      <c r="K17" s="435" t="str">
        <f>"Jan - Mar "&amp;$H$4</f>
        <v>Jan - Mar 2017</v>
      </c>
    </row>
    <row r="18" spans="1:14" s="22" customFormat="1" ht="15" customHeight="1">
      <c r="A18" s="109" t="s">
        <v>357</v>
      </c>
      <c r="B18" s="108"/>
      <c r="C18" s="98" t="s">
        <v>173</v>
      </c>
      <c r="D18" s="121" t="str">
        <f>"Oct 31, "&amp;$G$4-1</f>
        <v>Oct 31, 2015</v>
      </c>
      <c r="E18" s="121" t="str">
        <f>"Jan 31, "&amp;$G$4</f>
        <v>Jan 31, 2016</v>
      </c>
      <c r="F18" s="121" t="str">
        <f>"Apr 30, "&amp;$G$4</f>
        <v>Apr 30, 2016</v>
      </c>
      <c r="G18" s="121" t="str">
        <f>"Jul 31, "&amp;$G$4</f>
        <v>Jul 31, 2016</v>
      </c>
      <c r="H18" s="418" t="str">
        <f>"Oct 31, "&amp;$H$4-1</f>
        <v>Oct 31, 2016</v>
      </c>
      <c r="I18" s="121" t="str">
        <f>"Jan 31, "&amp;$H$4</f>
        <v>Jan 31, 2017</v>
      </c>
      <c r="J18" s="426" t="str">
        <f>"Apr 30, "&amp;$H$4</f>
        <v>Apr 30, 2017</v>
      </c>
      <c r="K18" s="121" t="str">
        <f>"Jul 31, "&amp;$H$4</f>
        <v>Jul 31, 2017</v>
      </c>
      <c r="N18" s="34"/>
    </row>
    <row r="19" spans="1:14" s="22" customFormat="1" ht="15" customHeight="1" thickBot="1">
      <c r="A19" s="109"/>
      <c r="B19" s="113"/>
      <c r="C19" s="98" t="s">
        <v>174</v>
      </c>
      <c r="D19" s="135" t="s">
        <v>177</v>
      </c>
      <c r="E19" s="135" t="s">
        <v>177</v>
      </c>
      <c r="F19" s="135" t="s">
        <v>177</v>
      </c>
      <c r="G19" s="135" t="s">
        <v>177</v>
      </c>
      <c r="H19" s="419" t="s">
        <v>177</v>
      </c>
      <c r="I19" s="135" t="s">
        <v>177</v>
      </c>
      <c r="J19" s="427" t="s">
        <v>177</v>
      </c>
      <c r="K19" s="135" t="s">
        <v>177</v>
      </c>
      <c r="N19" s="200"/>
    </row>
    <row r="20" spans="1:14" s="22" customFormat="1" ht="15" customHeight="1" thickTop="1">
      <c r="A20" s="122" t="s">
        <v>358</v>
      </c>
      <c r="B20" s="108" t="s">
        <v>176</v>
      </c>
      <c r="C20" s="119" t="s">
        <v>172</v>
      </c>
      <c r="D20" s="120" t="str">
        <f>"Apr - Jun "&amp;$G$4-1</f>
        <v>Apr - Jun 2015</v>
      </c>
      <c r="E20" s="120" t="str">
        <f>"Jul - Sep "&amp;$G$4-1</f>
        <v>Jul - Sep 2015</v>
      </c>
      <c r="F20" s="120" t="str">
        <f>"Oct - Dec "&amp;$G$4-1</f>
        <v>Oct - Dec 2015</v>
      </c>
      <c r="G20" s="120" t="str">
        <f>"Jan - Mar "&amp;$G$4</f>
        <v>Jan - Mar 2016</v>
      </c>
      <c r="H20" s="417" t="str">
        <f>"Apr - Jun "&amp;$H$4-1</f>
        <v>Apr - Jun 2016</v>
      </c>
      <c r="I20" s="120" t="str">
        <f>"Jul - Sep "&amp;$H$4-1</f>
        <v>Jul - Sep 2016</v>
      </c>
      <c r="J20" s="425" t="str">
        <f>"Oct - Dec "&amp;$H$4-1</f>
        <v>Oct - Dec 2016</v>
      </c>
      <c r="K20" s="120" t="str">
        <f>"Jan - Mar "&amp;$H$4</f>
        <v>Jan - Mar 2017</v>
      </c>
    </row>
    <row r="21" spans="1:14" s="22" customFormat="1" ht="15" customHeight="1">
      <c r="A21" s="123" t="s">
        <v>360</v>
      </c>
      <c r="B21" s="108"/>
      <c r="C21" s="98" t="s">
        <v>173</v>
      </c>
      <c r="D21" s="121" t="str">
        <f>"Oct 31, "&amp;$G$4-1</f>
        <v>Oct 31, 2015</v>
      </c>
      <c r="E21" s="121" t="str">
        <f>"Jan 31, "&amp;$G$4</f>
        <v>Jan 31, 2016</v>
      </c>
      <c r="F21" s="121" t="str">
        <f>"Apr 30, "&amp;$G$4</f>
        <v>Apr 30, 2016</v>
      </c>
      <c r="G21" s="121" t="str">
        <f>"Jul 31, "&amp;$G$4</f>
        <v>Jul 31, 2016</v>
      </c>
      <c r="H21" s="418" t="str">
        <f>"Oct 31, "&amp;$H$4-1</f>
        <v>Oct 31, 2016</v>
      </c>
      <c r="I21" s="121" t="str">
        <f>"Jan 31, "&amp;$H$4</f>
        <v>Jan 31, 2017</v>
      </c>
      <c r="J21" s="426" t="str">
        <f>"Apr 30, "&amp;$H$4</f>
        <v>Apr 30, 2017</v>
      </c>
      <c r="K21" s="121" t="str">
        <f>"Jul 31, "&amp;$H$4</f>
        <v>Jul 31, 2017</v>
      </c>
    </row>
    <row r="22" spans="1:14" s="22" customFormat="1" ht="15" customHeight="1" thickBot="1">
      <c r="A22" s="109" t="s">
        <v>359</v>
      </c>
      <c r="B22" s="124"/>
      <c r="C22" s="98" t="s">
        <v>174</v>
      </c>
      <c r="D22" s="115" t="s">
        <v>175</v>
      </c>
      <c r="E22" s="115" t="s">
        <v>175</v>
      </c>
      <c r="F22" s="115" t="s">
        <v>175</v>
      </c>
      <c r="G22" s="115" t="s">
        <v>175</v>
      </c>
      <c r="H22" s="420" t="s">
        <v>175</v>
      </c>
      <c r="I22" s="115" t="s">
        <v>175</v>
      </c>
      <c r="J22" s="428" t="s">
        <v>175</v>
      </c>
      <c r="K22" s="115" t="s">
        <v>175</v>
      </c>
    </row>
    <row r="23" spans="1:14" s="22" customFormat="1" ht="15" customHeight="1" thickTop="1">
      <c r="A23" s="122" t="s">
        <v>361</v>
      </c>
      <c r="B23" s="125" t="s">
        <v>176</v>
      </c>
      <c r="C23" s="119" t="s">
        <v>172</v>
      </c>
      <c r="D23" s="120" t="str">
        <f>"Apr - Jun "&amp;$G$4-1</f>
        <v>Apr - Jun 2015</v>
      </c>
      <c r="E23" s="120" t="str">
        <f>"Jul - Sep "&amp;$G$4-1</f>
        <v>Jul - Sep 2015</v>
      </c>
      <c r="F23" s="120" t="str">
        <f>"Oct - Dec "&amp;$G$4-1</f>
        <v>Oct - Dec 2015</v>
      </c>
      <c r="G23" s="120" t="str">
        <f>"Jan - Mar "&amp;$G$4</f>
        <v>Jan - Mar 2016</v>
      </c>
      <c r="H23" s="417" t="str">
        <f>"Apr - Jun "&amp;$H$4-1</f>
        <v>Apr - Jun 2016</v>
      </c>
      <c r="I23" s="120" t="str">
        <f>"Jul - Sep "&amp;$H$4-1</f>
        <v>Jul - Sep 2016</v>
      </c>
      <c r="J23" s="425" t="str">
        <f>"Oct - Dec "&amp;$H$4-1</f>
        <v>Oct - Dec 2016</v>
      </c>
      <c r="K23" s="120" t="str">
        <f>"Jan - Mar "&amp;$H$4</f>
        <v>Jan - Mar 2017</v>
      </c>
    </row>
    <row r="24" spans="1:14" s="22" customFormat="1" ht="15" customHeight="1">
      <c r="A24" s="109" t="s">
        <v>362</v>
      </c>
      <c r="B24" s="110"/>
      <c r="C24" s="98" t="s">
        <v>173</v>
      </c>
      <c r="D24" s="121" t="str">
        <f>"Oct 31, "&amp;$G$4-1</f>
        <v>Oct 31, 2015</v>
      </c>
      <c r="E24" s="121" t="str">
        <f>"Jan 31, "&amp;$G$4</f>
        <v>Jan 31, 2016</v>
      </c>
      <c r="F24" s="121" t="str">
        <f>"Apr 30, "&amp;$G$4</f>
        <v>Apr 30, 2016</v>
      </c>
      <c r="G24" s="121" t="str">
        <f>"Jul 31, "&amp;$G$4</f>
        <v>Jul 31, 2016</v>
      </c>
      <c r="H24" s="418" t="str">
        <f>"Oct 31, "&amp;$H$4-1</f>
        <v>Oct 31, 2016</v>
      </c>
      <c r="I24" s="121" t="str">
        <f>"Jan 31, "&amp;$H$4</f>
        <v>Jan 31, 2017</v>
      </c>
      <c r="J24" s="426" t="str">
        <f>"Apr 30, "&amp;$H$4</f>
        <v>Apr 30, 2017</v>
      </c>
      <c r="K24" s="121" t="str">
        <f>"Jul 31, "&amp;$H$4</f>
        <v>Jul 31, 2017</v>
      </c>
    </row>
    <row r="25" spans="1:14" s="22" customFormat="1" ht="15" customHeight="1" thickBot="1">
      <c r="A25" s="109" t="s">
        <v>363</v>
      </c>
      <c r="B25" s="124"/>
      <c r="C25" s="98" t="s">
        <v>174</v>
      </c>
      <c r="D25" s="115" t="s">
        <v>177</v>
      </c>
      <c r="E25" s="115" t="s">
        <v>177</v>
      </c>
      <c r="F25" s="115" t="s">
        <v>177</v>
      </c>
      <c r="G25" s="115" t="s">
        <v>177</v>
      </c>
      <c r="H25" s="420" t="s">
        <v>177</v>
      </c>
      <c r="I25" s="121" t="s">
        <v>177</v>
      </c>
      <c r="J25" s="428" t="s">
        <v>177</v>
      </c>
      <c r="K25" s="115" t="s">
        <v>177</v>
      </c>
    </row>
    <row r="26" spans="1:14" s="22" customFormat="1" ht="15" hidden="1" customHeight="1" thickTop="1">
      <c r="A26" s="126" t="s">
        <v>364</v>
      </c>
      <c r="B26" s="125" t="s">
        <v>178</v>
      </c>
      <c r="C26" s="127" t="s">
        <v>170</v>
      </c>
      <c r="D26" s="117" t="str">
        <f>"Jul - Sep "&amp;$G$4-1</f>
        <v>Jul - Sep 2015</v>
      </c>
      <c r="E26" s="117" t="str">
        <f>"Oct - Dec "&amp;$G$4-1</f>
        <v>Oct - Dec 2015</v>
      </c>
      <c r="F26" s="117" t="str">
        <f>"Jan - Mar "&amp;$G$4</f>
        <v>Jan - Mar 2016</v>
      </c>
      <c r="G26" s="117" t="str">
        <f>"Apr - Jun "&amp;$G$4</f>
        <v>Apr - Jun 2016</v>
      </c>
      <c r="H26" s="117" t="str">
        <f>"Jul - Sep "&amp;$H$4-1</f>
        <v>Jul - Sep 2016</v>
      </c>
      <c r="I26" s="436" t="str">
        <f>"Oct - Dec "&amp;$H$4-1</f>
        <v>Oct - Dec 2016</v>
      </c>
      <c r="J26" s="117" t="str">
        <f>"Jan - Mar "&amp;$H$4</f>
        <v>Jan - Mar 2017</v>
      </c>
      <c r="K26" s="117" t="str">
        <f>"Apr - Jun "&amp;$H$4</f>
        <v>Apr - Jun 2017</v>
      </c>
      <c r="M26" s="225" t="s">
        <v>383</v>
      </c>
    </row>
    <row r="27" spans="1:14" s="22" customFormat="1" ht="15" hidden="1" customHeight="1">
      <c r="A27" s="109" t="s">
        <v>365</v>
      </c>
      <c r="B27" s="323" t="s">
        <v>179</v>
      </c>
      <c r="C27" s="98" t="s">
        <v>166</v>
      </c>
      <c r="D27" s="121" t="str">
        <f>"Oct 31, "&amp;$G$4-1</f>
        <v>Oct 31, 2015</v>
      </c>
      <c r="E27" s="121" t="str">
        <f>"Jan 31, "&amp;$G$4</f>
        <v>Jan 31, 2016</v>
      </c>
      <c r="F27" s="121" t="str">
        <f>"Apr 30, "&amp;$G$4</f>
        <v>Apr 30, 2016</v>
      </c>
      <c r="G27" s="121" t="str">
        <f>"Jul 31, "&amp;$G$4</f>
        <v>Jul 31, 2016</v>
      </c>
      <c r="H27" s="121" t="str">
        <f>"Oct 31, "&amp;$H$4-1</f>
        <v>Oct 31, 2016</v>
      </c>
      <c r="I27" s="121" t="str">
        <f>"Jan 31, "&amp;$H$4</f>
        <v>Jan 31, 2017</v>
      </c>
      <c r="J27" s="121" t="str">
        <f>"Apr 30, "&amp;$H$4</f>
        <v>Apr 30, 2017</v>
      </c>
      <c r="K27" s="121" t="str">
        <f>"Jul 31, "&amp;$H$4</f>
        <v>Jul 31, 2017</v>
      </c>
      <c r="M27" s="225" t="s">
        <v>383</v>
      </c>
    </row>
    <row r="28" spans="1:14" s="22" customFormat="1" ht="15" hidden="1" customHeight="1" thickBot="1">
      <c r="A28" s="108" t="s">
        <v>180</v>
      </c>
      <c r="B28" s="110"/>
      <c r="C28" s="98" t="s">
        <v>181</v>
      </c>
      <c r="D28" s="115" t="s">
        <v>182</v>
      </c>
      <c r="E28" s="115" t="s">
        <v>182</v>
      </c>
      <c r="F28" s="115" t="s">
        <v>182</v>
      </c>
      <c r="G28" s="115" t="s">
        <v>182</v>
      </c>
      <c r="H28" s="115" t="s">
        <v>182</v>
      </c>
      <c r="I28" s="115" t="s">
        <v>182</v>
      </c>
      <c r="J28" s="115" t="s">
        <v>182</v>
      </c>
      <c r="K28" s="115" t="s">
        <v>182</v>
      </c>
      <c r="M28" s="225" t="s">
        <v>383</v>
      </c>
    </row>
    <row r="29" spans="1:14" s="22" customFormat="1" ht="15" hidden="1" customHeight="1" thickTop="1">
      <c r="A29" s="118" t="s">
        <v>366</v>
      </c>
      <c r="B29" s="125" t="s">
        <v>183</v>
      </c>
      <c r="C29" s="119" t="s">
        <v>172</v>
      </c>
      <c r="D29" s="120" t="str">
        <f>"Apr - Jun "&amp;$G$4-1</f>
        <v>Apr - Jun 2015</v>
      </c>
      <c r="E29" s="120" t="str">
        <f>"Jul - Sep "&amp;$G$4-1</f>
        <v>Jul - Sep 2015</v>
      </c>
      <c r="F29" s="120" t="str">
        <f>"Oct - Dec "&amp;$G$4-1</f>
        <v>Oct - Dec 2015</v>
      </c>
      <c r="G29" s="120" t="str">
        <f>"Jan - Mar "&amp;$G$4</f>
        <v>Jan - Mar 2016</v>
      </c>
      <c r="H29" s="120" t="str">
        <f>"Apr - Jun "&amp;$H$4-1</f>
        <v>Apr - Jun 2016</v>
      </c>
      <c r="I29" s="120" t="str">
        <f>"Jul - Sep "&amp;$H$4-1</f>
        <v>Jul - Sep 2016</v>
      </c>
      <c r="J29" s="120" t="str">
        <f>"Oct - Dec "&amp;$H$4-1</f>
        <v>Oct - Dec 2016</v>
      </c>
      <c r="K29" s="120" t="str">
        <f>"Jan - Mar "&amp;$H$4</f>
        <v>Jan - Mar 2017</v>
      </c>
      <c r="M29" s="225" t="s">
        <v>383</v>
      </c>
    </row>
    <row r="30" spans="1:14" s="22" customFormat="1" ht="15" hidden="1" customHeight="1">
      <c r="A30" s="323" t="s">
        <v>184</v>
      </c>
      <c r="B30" s="108"/>
      <c r="C30" s="49" t="s">
        <v>166</v>
      </c>
      <c r="D30" s="121" t="str">
        <f>"Oct 31, "&amp;$G$4-1</f>
        <v>Oct 31, 2015</v>
      </c>
      <c r="E30" s="121" t="str">
        <f>"Jan 31, "&amp;$G$4</f>
        <v>Jan 31, 2016</v>
      </c>
      <c r="F30" s="121" t="str">
        <f>"Apr 30, "&amp;$G$4</f>
        <v>Apr 30, 2016</v>
      </c>
      <c r="G30" s="121" t="str">
        <f>"Jul 31, "&amp;$G$4</f>
        <v>Jul 31, 2016</v>
      </c>
      <c r="H30" s="121" t="str">
        <f>"Oct 31, "&amp;$H$4-1</f>
        <v>Oct 31, 2016</v>
      </c>
      <c r="I30" s="121" t="str">
        <f>"Jan 31, "&amp;$H$4</f>
        <v>Jan 31, 2017</v>
      </c>
      <c r="J30" s="121" t="str">
        <f>"Apr 30, "&amp;$H$4</f>
        <v>Apr 30, 2017</v>
      </c>
      <c r="K30" s="121" t="str">
        <f>"Jul 31, "&amp;$H$4</f>
        <v>Jul 31, 2017</v>
      </c>
      <c r="M30" s="225" t="s">
        <v>383</v>
      </c>
    </row>
    <row r="31" spans="1:14" s="22" customFormat="1" ht="15" hidden="1" customHeight="1" thickBot="1">
      <c r="A31" s="109"/>
      <c r="B31" s="113"/>
      <c r="C31" s="49" t="s">
        <v>167</v>
      </c>
      <c r="D31" s="115" t="s">
        <v>175</v>
      </c>
      <c r="E31" s="115" t="s">
        <v>175</v>
      </c>
      <c r="F31" s="115" t="s">
        <v>175</v>
      </c>
      <c r="G31" s="115" t="s">
        <v>175</v>
      </c>
      <c r="H31" s="115" t="s">
        <v>175</v>
      </c>
      <c r="I31" s="121" t="s">
        <v>175</v>
      </c>
      <c r="J31" s="115" t="s">
        <v>175</v>
      </c>
      <c r="K31" s="115" t="s">
        <v>175</v>
      </c>
      <c r="M31" s="225" t="s">
        <v>383</v>
      </c>
    </row>
    <row r="32" spans="1:14" ht="15" customHeight="1" thickTop="1">
      <c r="A32" s="126" t="s">
        <v>364</v>
      </c>
      <c r="B32" s="129" t="s">
        <v>176</v>
      </c>
      <c r="C32" s="119" t="s">
        <v>172</v>
      </c>
      <c r="D32" s="120" t="str">
        <f>"Apr - Jun "&amp;$G$4-1</f>
        <v>Apr - Jun 2015</v>
      </c>
      <c r="E32" s="120" t="str">
        <f>"Jul - Sep "&amp;$G$4-1</f>
        <v>Jul - Sep 2015</v>
      </c>
      <c r="F32" s="120" t="str">
        <f>"Oct - Dec "&amp;$G$4-1</f>
        <v>Oct - Dec 2015</v>
      </c>
      <c r="G32" s="120" t="str">
        <f>"Jan - Mar "&amp;$G$4</f>
        <v>Jan - Mar 2016</v>
      </c>
      <c r="H32" s="417" t="str">
        <f>"Apr - Jun "&amp;$H$4-1</f>
        <v>Apr - Jun 2016</v>
      </c>
      <c r="I32" s="435" t="str">
        <f>"Jul - Sep "&amp;$H$4-1</f>
        <v>Jul - Sep 2016</v>
      </c>
      <c r="J32" s="425" t="str">
        <f>"Oct - Dec "&amp;$H$4-1</f>
        <v>Oct - Dec 2016</v>
      </c>
      <c r="K32" s="120" t="str">
        <f>"Jan - Mar "&amp;$H$4</f>
        <v>Jan - Mar 2017</v>
      </c>
    </row>
    <row r="33" spans="1:13" ht="15" customHeight="1">
      <c r="A33" s="130" t="s">
        <v>367</v>
      </c>
      <c r="B33" s="131"/>
      <c r="C33" s="98" t="s">
        <v>173</v>
      </c>
      <c r="D33" s="121" t="str">
        <f>"Oct 31, "&amp;$G$4-1</f>
        <v>Oct 31, 2015</v>
      </c>
      <c r="E33" s="121" t="str">
        <f>"Jan 31, "&amp;$G$4</f>
        <v>Jan 31, 2016</v>
      </c>
      <c r="F33" s="121" t="str">
        <f>"Apr 30, "&amp;$G$4</f>
        <v>Apr 30, 2016</v>
      </c>
      <c r="G33" s="121" t="str">
        <f>"Jul 31, "&amp;$G$4</f>
        <v>Jul 31, 2016</v>
      </c>
      <c r="H33" s="418" t="str">
        <f>"Oct 31, "&amp;$H$4-1</f>
        <v>Oct 31, 2016</v>
      </c>
      <c r="I33" s="121" t="str">
        <f>"Jan 31, "&amp;$H$4</f>
        <v>Jan 31, 2017</v>
      </c>
      <c r="J33" s="426" t="str">
        <f>"Apr 30, "&amp;$H$4</f>
        <v>Apr 30, 2017</v>
      </c>
      <c r="K33" s="121" t="str">
        <f>"Jul 31, "&amp;$H$4</f>
        <v>Jul 31, 2017</v>
      </c>
    </row>
    <row r="34" spans="1:13" ht="15" customHeight="1" thickBot="1">
      <c r="A34" s="132" t="s">
        <v>368</v>
      </c>
      <c r="B34" s="133"/>
      <c r="C34" s="98" t="s">
        <v>174</v>
      </c>
      <c r="D34" s="115" t="s">
        <v>175</v>
      </c>
      <c r="E34" s="115" t="s">
        <v>175</v>
      </c>
      <c r="F34" s="115" t="s">
        <v>175</v>
      </c>
      <c r="G34" s="115" t="s">
        <v>175</v>
      </c>
      <c r="H34" s="420" t="s">
        <v>175</v>
      </c>
      <c r="I34" s="115" t="s">
        <v>175</v>
      </c>
      <c r="J34" s="428" t="s">
        <v>175</v>
      </c>
      <c r="K34" s="115" t="s">
        <v>175</v>
      </c>
    </row>
    <row r="35" spans="1:13" ht="15" customHeight="1" thickTop="1">
      <c r="A35" s="128" t="s">
        <v>369</v>
      </c>
      <c r="B35" s="129" t="s">
        <v>176</v>
      </c>
      <c r="C35" s="119" t="s">
        <v>172</v>
      </c>
      <c r="D35" s="120" t="str">
        <f>"Apr - Jun "&amp;$G$4-1</f>
        <v>Apr - Jun 2015</v>
      </c>
      <c r="E35" s="120" t="str">
        <f>"Jul - Sep "&amp;$G$4-1</f>
        <v>Jul - Sep 2015</v>
      </c>
      <c r="F35" s="120" t="str">
        <f>"Oct - Dec "&amp;$G$4-1</f>
        <v>Oct - Dec 2015</v>
      </c>
      <c r="G35" s="120" t="str">
        <f>"Jan - Mar "&amp;$G$4</f>
        <v>Jan - Mar 2016</v>
      </c>
      <c r="H35" s="417" t="str">
        <f>"Apr - Jun "&amp;$H$4-1</f>
        <v>Apr - Jun 2016</v>
      </c>
      <c r="I35" s="120" t="str">
        <f>"Jul - Sep "&amp;$H$4-1</f>
        <v>Jul - Sep 2016</v>
      </c>
      <c r="J35" s="425" t="str">
        <f>"Oct - Dec "&amp;$H$4-1</f>
        <v>Oct - Dec 2016</v>
      </c>
      <c r="K35" s="120" t="str">
        <f>"Jan - Mar "&amp;$H$4</f>
        <v>Jan - Mar 2017</v>
      </c>
    </row>
    <row r="36" spans="1:13" ht="15" customHeight="1">
      <c r="A36" s="130"/>
      <c r="B36" s="131"/>
      <c r="C36" s="98" t="s">
        <v>173</v>
      </c>
      <c r="D36" s="121" t="str">
        <f>"Oct 31, "&amp;$G$4-1</f>
        <v>Oct 31, 2015</v>
      </c>
      <c r="E36" s="121" t="str">
        <f>"Jan 31, "&amp;$G$4</f>
        <v>Jan 31, 2016</v>
      </c>
      <c r="F36" s="121" t="str">
        <f>"Apr 30, "&amp;$G$4</f>
        <v>Apr 30, 2016</v>
      </c>
      <c r="G36" s="121" t="str">
        <f>"Jul 31, "&amp;$G$4</f>
        <v>Jul 31, 2016</v>
      </c>
      <c r="H36" s="418" t="str">
        <f>"Oct 31, "&amp;$H$4-1</f>
        <v>Oct 31, 2016</v>
      </c>
      <c r="I36" s="121" t="str">
        <f>"Jan 31, "&amp;$H$4</f>
        <v>Jan 31, 2017</v>
      </c>
      <c r="J36" s="426" t="str">
        <f>"Apr 30, "&amp;$H$4</f>
        <v>Apr 30, 2017</v>
      </c>
      <c r="K36" s="121" t="str">
        <f>"Jul 31, "&amp;$H$4</f>
        <v>Jul 31, 2017</v>
      </c>
    </row>
    <row r="37" spans="1:13" ht="15" customHeight="1" thickBot="1">
      <c r="A37" s="132"/>
      <c r="B37" s="133"/>
      <c r="C37" s="98" t="s">
        <v>174</v>
      </c>
      <c r="D37" s="135" t="s">
        <v>185</v>
      </c>
      <c r="E37" s="115" t="s">
        <v>185</v>
      </c>
      <c r="F37" s="115" t="s">
        <v>185</v>
      </c>
      <c r="G37" s="115" t="s">
        <v>185</v>
      </c>
      <c r="H37" s="419" t="s">
        <v>185</v>
      </c>
      <c r="I37" s="121" t="s">
        <v>185</v>
      </c>
      <c r="J37" s="428" t="s">
        <v>185</v>
      </c>
      <c r="K37" s="115" t="s">
        <v>185</v>
      </c>
    </row>
    <row r="38" spans="1:13" ht="15" hidden="1" customHeight="1" thickTop="1">
      <c r="A38" s="128" t="s">
        <v>370</v>
      </c>
      <c r="B38" s="327" t="s">
        <v>178</v>
      </c>
      <c r="C38" s="119" t="s">
        <v>172</v>
      </c>
      <c r="D38" s="120" t="str">
        <f>"Apr - Jun "&amp;$G$4-1</f>
        <v>Apr - Jun 2015</v>
      </c>
      <c r="E38" s="120" t="str">
        <f>"Jul - Sep "&amp;$G$4-1</f>
        <v>Jul - Sep 2015</v>
      </c>
      <c r="F38" s="120" t="str">
        <f>"Oct - Dec "&amp;$G$4-1</f>
        <v>Oct - Dec 2015</v>
      </c>
      <c r="G38" s="120" t="str">
        <f>"Jan - Mar "&amp;$G$4</f>
        <v>Jan - Mar 2016</v>
      </c>
      <c r="H38" s="120" t="str">
        <f>"Apr - Jun "&amp;$H$4-1</f>
        <v>Apr - Jun 2016</v>
      </c>
      <c r="I38" s="435" t="str">
        <f>"Jul - Sep "&amp;$H$4-1</f>
        <v>Jul - Sep 2016</v>
      </c>
      <c r="J38" s="120" t="str">
        <f>"Oct - Dec "&amp;$H$4-1</f>
        <v>Oct - Dec 2016</v>
      </c>
      <c r="K38" s="120" t="str">
        <f>"Jan - Mar "&amp;$H$4</f>
        <v>Jan - Mar 2017</v>
      </c>
      <c r="M38" s="225" t="s">
        <v>383</v>
      </c>
    </row>
    <row r="39" spans="1:13" ht="15" hidden="1" customHeight="1">
      <c r="A39" s="130" t="s">
        <v>372</v>
      </c>
      <c r="B39" s="328" t="s">
        <v>179</v>
      </c>
      <c r="C39" s="98" t="s">
        <v>173</v>
      </c>
      <c r="D39" s="121" t="str">
        <f>"Oct 31, "&amp;$G$4-1</f>
        <v>Oct 31, 2015</v>
      </c>
      <c r="E39" s="121" t="str">
        <f>"Jan 31, "&amp;$G$4</f>
        <v>Jan 31, 2016</v>
      </c>
      <c r="F39" s="121" t="str">
        <f>"Apr 30, "&amp;$G$4</f>
        <v>Apr 30, 2016</v>
      </c>
      <c r="G39" s="121" t="str">
        <f>"Jul 31, "&amp;$G$4</f>
        <v>Jul 31, 2016</v>
      </c>
      <c r="H39" s="121" t="str">
        <f>"Oct 31, "&amp;$H$4-1</f>
        <v>Oct 31, 2016</v>
      </c>
      <c r="I39" s="121" t="str">
        <f>"Jan 31, "&amp;$H$4</f>
        <v>Jan 31, 2017</v>
      </c>
      <c r="J39" s="121" t="str">
        <f>"Apr 30, "&amp;$H$4</f>
        <v>Apr 30, 2017</v>
      </c>
      <c r="K39" s="121" t="str">
        <f>"Jul 31, "&amp;$H$4</f>
        <v>Jul 31, 2017</v>
      </c>
      <c r="M39" s="225" t="s">
        <v>383</v>
      </c>
    </row>
    <row r="40" spans="1:13" ht="15" hidden="1" customHeight="1" thickBot="1">
      <c r="A40" s="130"/>
      <c r="B40" s="133"/>
      <c r="C40" s="98" t="s">
        <v>174</v>
      </c>
      <c r="D40" s="135" t="s">
        <v>185</v>
      </c>
      <c r="E40" s="115" t="s">
        <v>185</v>
      </c>
      <c r="F40" s="115" t="s">
        <v>185</v>
      </c>
      <c r="G40" s="115" t="s">
        <v>185</v>
      </c>
      <c r="H40" s="135" t="s">
        <v>185</v>
      </c>
      <c r="I40" s="115" t="s">
        <v>185</v>
      </c>
      <c r="J40" s="115" t="s">
        <v>185</v>
      </c>
      <c r="K40" s="115" t="s">
        <v>185</v>
      </c>
      <c r="M40" s="225" t="s">
        <v>383</v>
      </c>
    </row>
    <row r="41" spans="1:13" ht="15" hidden="1" customHeight="1" thickTop="1">
      <c r="A41" s="128" t="s">
        <v>374</v>
      </c>
      <c r="B41" s="129" t="s">
        <v>178</v>
      </c>
      <c r="C41" s="119" t="s">
        <v>186</v>
      </c>
      <c r="D41" s="136" t="str">
        <f>"Jan - Mar "&amp;$G$4-1</f>
        <v>Jan - Mar 2015</v>
      </c>
      <c r="E41" s="136" t="str">
        <f>"Apr - Jun "&amp;$G$4-1</f>
        <v>Apr - Jun 2015</v>
      </c>
      <c r="F41" s="136" t="str">
        <f>"Jul - Sep "&amp;$G$4-1</f>
        <v>Jul - Sep 2015</v>
      </c>
      <c r="G41" s="136" t="str">
        <f>"Oct - Dec "&amp;$G$4-1</f>
        <v>Oct - Dec 2015</v>
      </c>
      <c r="H41" s="136" t="str">
        <f>"Jan - Mar "&amp;$H$4-1</f>
        <v>Jan - Mar 2016</v>
      </c>
      <c r="I41" s="136" t="str">
        <f>"Apr - Jun "&amp;$H$4-1</f>
        <v>Apr - Jun 2016</v>
      </c>
      <c r="J41" s="136" t="str">
        <f>"Jul - Sep "&amp;$H$4-1</f>
        <v>Jul - Sep 2016</v>
      </c>
      <c r="K41" s="136" t="str">
        <f>"Oct - Dec "&amp;$H$4-1</f>
        <v>Oct - Dec 2016</v>
      </c>
      <c r="M41" s="225" t="s">
        <v>383</v>
      </c>
    </row>
    <row r="42" spans="1:13" ht="15" hidden="1" customHeight="1">
      <c r="A42" s="130" t="s">
        <v>373</v>
      </c>
      <c r="B42" s="323" t="s">
        <v>179</v>
      </c>
      <c r="C42" s="98" t="s">
        <v>166</v>
      </c>
      <c r="D42" s="121" t="str">
        <f>"Oct 31, "&amp;$G$4-1</f>
        <v>Oct 31, 2015</v>
      </c>
      <c r="E42" s="121" t="str">
        <f>"Jan 31, "&amp;$G$4</f>
        <v>Jan 31, 2016</v>
      </c>
      <c r="F42" s="121" t="str">
        <f>"Apr 30, "&amp;$G$4</f>
        <v>Apr 30, 2016</v>
      </c>
      <c r="G42" s="121" t="str">
        <f>"Jul 31, "&amp;$G$4</f>
        <v>Jul 31, 2016</v>
      </c>
      <c r="H42" s="121" t="str">
        <f>"Oct 31, "&amp;$H$4-1</f>
        <v>Oct 31, 2016</v>
      </c>
      <c r="I42" s="121" t="str">
        <f>"Jan 31, "&amp;$H$4</f>
        <v>Jan 31, 2017</v>
      </c>
      <c r="J42" s="121" t="str">
        <f>"Apr 30, "&amp;$H$4</f>
        <v>Apr 30, 2017</v>
      </c>
      <c r="K42" s="121" t="str">
        <f>"Jul 31, "&amp;$H$4</f>
        <v>Jul 31, 2017</v>
      </c>
      <c r="M42" s="225" t="s">
        <v>383</v>
      </c>
    </row>
    <row r="43" spans="1:13" ht="15" hidden="1" customHeight="1" thickBot="1">
      <c r="A43" s="137"/>
      <c r="B43" s="138"/>
      <c r="C43" s="139" t="s">
        <v>187</v>
      </c>
      <c r="D43" s="116" t="s">
        <v>182</v>
      </c>
      <c r="E43" s="116" t="s">
        <v>182</v>
      </c>
      <c r="F43" s="116" t="s">
        <v>182</v>
      </c>
      <c r="G43" s="116" t="s">
        <v>182</v>
      </c>
      <c r="H43" s="116" t="s">
        <v>182</v>
      </c>
      <c r="I43" s="431" t="s">
        <v>182</v>
      </c>
      <c r="J43" s="116" t="s">
        <v>182</v>
      </c>
      <c r="K43" s="116" t="s">
        <v>182</v>
      </c>
      <c r="M43" s="225" t="s">
        <v>383</v>
      </c>
    </row>
    <row r="44" spans="1:13" ht="15" customHeight="1" thickTop="1">
      <c r="A44" s="128" t="s">
        <v>371</v>
      </c>
      <c r="B44" s="129" t="s">
        <v>176</v>
      </c>
      <c r="C44" s="119" t="s">
        <v>172</v>
      </c>
      <c r="D44" s="120" t="str">
        <f>"Apr - Jun "&amp;$G$4-1</f>
        <v>Apr - Jun 2015</v>
      </c>
      <c r="E44" s="120" t="str">
        <f>"Jul - Sep "&amp;$G$4-1</f>
        <v>Jul - Sep 2015</v>
      </c>
      <c r="F44" s="120" t="str">
        <f>"Oct - Dec "&amp;$G$4-1</f>
        <v>Oct - Dec 2015</v>
      </c>
      <c r="G44" s="120" t="str">
        <f>"Jan - Mar "&amp;$G$4</f>
        <v>Jan - Mar 2016</v>
      </c>
      <c r="H44" s="417" t="str">
        <f>"Apr - Jun "&amp;$H$4-1</f>
        <v>Apr - Jun 2016</v>
      </c>
      <c r="I44" s="435" t="str">
        <f>"Jul - Sep "&amp;$H$4-1</f>
        <v>Jul - Sep 2016</v>
      </c>
      <c r="J44" s="425" t="str">
        <f>"Oct - Dec "&amp;$H$4-1</f>
        <v>Oct - Dec 2016</v>
      </c>
      <c r="K44" s="120" t="str">
        <f>"Jan - Mar "&amp;$H$4</f>
        <v>Jan - Mar 2017</v>
      </c>
    </row>
    <row r="45" spans="1:13" ht="15" customHeight="1">
      <c r="A45" s="130" t="s">
        <v>375</v>
      </c>
      <c r="B45" s="131"/>
      <c r="C45" s="98" t="s">
        <v>173</v>
      </c>
      <c r="D45" s="121" t="str">
        <f>"Oct 31, "&amp;$G$4-1</f>
        <v>Oct 31, 2015</v>
      </c>
      <c r="E45" s="121" t="str">
        <f>"Jan 31, "&amp;$G$4</f>
        <v>Jan 31, 2016</v>
      </c>
      <c r="F45" s="121" t="str">
        <f>"Apr 30, "&amp;$G$4</f>
        <v>Apr 30, 2016</v>
      </c>
      <c r="G45" s="121" t="str">
        <f>"Jul 31, "&amp;$G$4</f>
        <v>Jul 31, 2016</v>
      </c>
      <c r="H45" s="418" t="str">
        <f>"Oct 31, "&amp;$H$4-1</f>
        <v>Oct 31, 2016</v>
      </c>
      <c r="I45" s="121" t="str">
        <f>"Jan 31, "&amp;$H$4</f>
        <v>Jan 31, 2017</v>
      </c>
      <c r="J45" s="426" t="str">
        <f>"Apr 30, "&amp;$H$4</f>
        <v>Apr 30, 2017</v>
      </c>
      <c r="K45" s="121" t="str">
        <f>"Jul 31, "&amp;$H$4</f>
        <v>Jul 31, 2017</v>
      </c>
    </row>
    <row r="46" spans="1:13" ht="15" customHeight="1" thickBot="1">
      <c r="A46" s="130"/>
      <c r="B46" s="133"/>
      <c r="C46" s="98" t="s">
        <v>174</v>
      </c>
      <c r="D46" s="135" t="s">
        <v>185</v>
      </c>
      <c r="E46" s="115" t="s">
        <v>185</v>
      </c>
      <c r="F46" s="115" t="s">
        <v>185</v>
      </c>
      <c r="G46" s="115" t="s">
        <v>185</v>
      </c>
      <c r="H46" s="419" t="s">
        <v>185</v>
      </c>
      <c r="I46" s="115" t="s">
        <v>185</v>
      </c>
      <c r="J46" s="428" t="s">
        <v>185</v>
      </c>
      <c r="K46" s="115" t="s">
        <v>185</v>
      </c>
    </row>
    <row r="47" spans="1:13" ht="15" customHeight="1" thickTop="1">
      <c r="A47" s="134" t="s">
        <v>376</v>
      </c>
      <c r="B47" s="129" t="s">
        <v>178</v>
      </c>
      <c r="C47" s="119" t="s">
        <v>172</v>
      </c>
      <c r="D47" s="120" t="str">
        <f>"Apr - Jun "&amp;$G$4-1</f>
        <v>Apr - Jun 2015</v>
      </c>
      <c r="E47" s="120" t="str">
        <f>"Jul - Sep "&amp;$G$4-1</f>
        <v>Jul - Sep 2015</v>
      </c>
      <c r="F47" s="120" t="str">
        <f>"Oct - Dec "&amp;$G$4-1</f>
        <v>Oct - Dec 2015</v>
      </c>
      <c r="G47" s="120" t="str">
        <f>"Jan - Mar "&amp;$G$4</f>
        <v>Jan - Mar 2016</v>
      </c>
      <c r="H47" s="417" t="str">
        <f>"Apr - Jun "&amp;$H$4-1</f>
        <v>Apr - Jun 2016</v>
      </c>
      <c r="I47" s="120" t="str">
        <f>"Jul - Sep "&amp;$H$4-1</f>
        <v>Jul - Sep 2016</v>
      </c>
      <c r="J47" s="425" t="str">
        <f>"Oct - Dec "&amp;$H$4-1</f>
        <v>Oct - Dec 2016</v>
      </c>
      <c r="K47" s="120" t="str">
        <f>"Jan - Mar "&amp;$H$4</f>
        <v>Jan - Mar 2017</v>
      </c>
    </row>
    <row r="48" spans="1:13" ht="15" customHeight="1">
      <c r="A48" s="130" t="s">
        <v>377</v>
      </c>
      <c r="B48" s="131" t="s">
        <v>176</v>
      </c>
      <c r="C48" s="98" t="s">
        <v>173</v>
      </c>
      <c r="D48" s="121" t="str">
        <f>"Oct 31, "&amp;$G$4-1</f>
        <v>Oct 31, 2015</v>
      </c>
      <c r="E48" s="121" t="str">
        <f>"Jan 31, "&amp;$G$4</f>
        <v>Jan 31, 2016</v>
      </c>
      <c r="F48" s="121" t="str">
        <f>"Apr 30, "&amp;$G$4</f>
        <v>Apr 30, 2016</v>
      </c>
      <c r="G48" s="121" t="str">
        <f>"Jul 31, "&amp;$G$4</f>
        <v>Jul 31, 2016</v>
      </c>
      <c r="H48" s="418" t="str">
        <f>"Oct 31, "&amp;$H$4-1</f>
        <v>Oct 31, 2016</v>
      </c>
      <c r="I48" s="121" t="str">
        <f>"Jan 31, "&amp;$H$4</f>
        <v>Jan 31, 2017</v>
      </c>
      <c r="J48" s="426" t="str">
        <f>"Apr 30, "&amp;$H$4</f>
        <v>Apr 30, 2017</v>
      </c>
      <c r="K48" s="121" t="str">
        <f>"Jul 31, "&amp;$H$4</f>
        <v>Jul 31, 2017</v>
      </c>
    </row>
    <row r="49" spans="1:13" ht="15" customHeight="1" thickBot="1">
      <c r="A49" s="130" t="s">
        <v>378</v>
      </c>
      <c r="B49" s="133"/>
      <c r="C49" s="98" t="s">
        <v>174</v>
      </c>
      <c r="D49" s="115" t="s">
        <v>175</v>
      </c>
      <c r="E49" s="115" t="s">
        <v>175</v>
      </c>
      <c r="F49" s="115" t="s">
        <v>175</v>
      </c>
      <c r="G49" s="115" t="s">
        <v>175</v>
      </c>
      <c r="H49" s="420" t="s">
        <v>175</v>
      </c>
      <c r="I49" s="115" t="s">
        <v>175</v>
      </c>
      <c r="J49" s="428" t="s">
        <v>175</v>
      </c>
      <c r="K49" s="115" t="s">
        <v>175</v>
      </c>
    </row>
    <row r="50" spans="1:13" ht="15" customHeight="1" thickTop="1">
      <c r="A50" s="128" t="s">
        <v>379</v>
      </c>
      <c r="B50" s="140" t="s">
        <v>176</v>
      </c>
      <c r="C50" s="119" t="s">
        <v>172</v>
      </c>
      <c r="D50" s="120" t="str">
        <f>"Apr - Jun "&amp;$G$4-1</f>
        <v>Apr - Jun 2015</v>
      </c>
      <c r="E50" s="120" t="str">
        <f>"Jul - Sep "&amp;$G$4-1</f>
        <v>Jul - Sep 2015</v>
      </c>
      <c r="F50" s="120" t="str">
        <f>"Oct - Dec "&amp;$G$4-1</f>
        <v>Oct - Dec 2015</v>
      </c>
      <c r="G50" s="120" t="str">
        <f>"Jan - Mar "&amp;$G$4</f>
        <v>Jan - Mar 2016</v>
      </c>
      <c r="H50" s="417" t="str">
        <f>"Apr - Jun "&amp;$H$4-1</f>
        <v>Apr - Jun 2016</v>
      </c>
      <c r="I50" s="120" t="str">
        <f>"Jul - Sep "&amp;$H$4-1</f>
        <v>Jul - Sep 2016</v>
      </c>
      <c r="J50" s="425" t="str">
        <f>"Oct - Dec "&amp;$H$4-1</f>
        <v>Oct - Dec 2016</v>
      </c>
      <c r="K50" s="120" t="str">
        <f>"Jan - Mar "&amp;$H$4</f>
        <v>Jan - Mar 2017</v>
      </c>
    </row>
    <row r="51" spans="1:13" ht="15" customHeight="1">
      <c r="A51" s="130" t="s">
        <v>380</v>
      </c>
      <c r="B51" s="141"/>
      <c r="C51" s="98" t="s">
        <v>173</v>
      </c>
      <c r="D51" s="121" t="str">
        <f>"Oct 31, "&amp;$G$4-1</f>
        <v>Oct 31, 2015</v>
      </c>
      <c r="E51" s="121" t="str">
        <f>"Jan 31, "&amp;$G$4</f>
        <v>Jan 31, 2016</v>
      </c>
      <c r="F51" s="121" t="str">
        <f>"Apr 30, "&amp;$G$4</f>
        <v>Apr 30, 2016</v>
      </c>
      <c r="G51" s="121" t="str">
        <f>"Jul 31, "&amp;$G$4</f>
        <v>Jul 31, 2016</v>
      </c>
      <c r="H51" s="418" t="str">
        <f>"Oct 31, "&amp;$H$4-1</f>
        <v>Oct 31, 2016</v>
      </c>
      <c r="I51" s="121" t="str">
        <f>"Jan 31, "&amp;$H$4</f>
        <v>Jan 31, 2017</v>
      </c>
      <c r="J51" s="426" t="str">
        <f>"Apr 30, "&amp;$H$4</f>
        <v>Apr 30, 2017</v>
      </c>
      <c r="K51" s="121" t="str">
        <f>"Jul 31, "&amp;$H$4</f>
        <v>Jul 31, 2017</v>
      </c>
    </row>
    <row r="52" spans="1:13" ht="15" customHeight="1" thickBot="1">
      <c r="A52" s="142"/>
      <c r="B52" s="133"/>
      <c r="C52" s="98" t="s">
        <v>174</v>
      </c>
      <c r="D52" s="115" t="s">
        <v>175</v>
      </c>
      <c r="E52" s="115" t="s">
        <v>175</v>
      </c>
      <c r="F52" s="115" t="s">
        <v>175</v>
      </c>
      <c r="G52" s="115" t="s">
        <v>175</v>
      </c>
      <c r="H52" s="420" t="s">
        <v>175</v>
      </c>
      <c r="I52" s="115" t="s">
        <v>175</v>
      </c>
      <c r="J52" s="428" t="s">
        <v>175</v>
      </c>
      <c r="K52" s="115" t="s">
        <v>175</v>
      </c>
    </row>
    <row r="53" spans="1:13" ht="15" customHeight="1" thickTop="1">
      <c r="A53" s="128" t="s">
        <v>381</v>
      </c>
      <c r="B53" s="140" t="s">
        <v>176</v>
      </c>
      <c r="C53" s="119" t="s">
        <v>172</v>
      </c>
      <c r="D53" s="120" t="str">
        <f>"Apr - Jun "&amp;$G$4-1</f>
        <v>Apr - Jun 2015</v>
      </c>
      <c r="E53" s="120" t="str">
        <f>"Jul - Sep "&amp;$G$4-1</f>
        <v>Jul - Sep 2015</v>
      </c>
      <c r="F53" s="120" t="str">
        <f>"Oct - Dec "&amp;$G$4-1</f>
        <v>Oct - Dec 2015</v>
      </c>
      <c r="G53" s="120" t="str">
        <f>"Jan - Mar "&amp;$G$4</f>
        <v>Jan - Mar 2016</v>
      </c>
      <c r="H53" s="417" t="str">
        <f>"Apr - Jun "&amp;$H$4-1</f>
        <v>Apr - Jun 2016</v>
      </c>
      <c r="I53" s="120" t="str">
        <f>"Jul - Sep "&amp;$H$4-1</f>
        <v>Jul - Sep 2016</v>
      </c>
      <c r="J53" s="425" t="str">
        <f>"Oct - Dec "&amp;$H$4-1</f>
        <v>Oct - Dec 2016</v>
      </c>
      <c r="K53" s="120" t="str">
        <f>"Jan - Mar "&amp;$H$4</f>
        <v>Jan - Mar 2017</v>
      </c>
    </row>
    <row r="54" spans="1:13" ht="15" customHeight="1">
      <c r="A54" s="130"/>
      <c r="B54" s="141"/>
      <c r="C54" s="98" t="s">
        <v>173</v>
      </c>
      <c r="D54" s="121" t="str">
        <f>"Oct 31, "&amp;$G$4-1</f>
        <v>Oct 31, 2015</v>
      </c>
      <c r="E54" s="121" t="str">
        <f>"Jan 31, "&amp;$G$4</f>
        <v>Jan 31, 2016</v>
      </c>
      <c r="F54" s="121" t="str">
        <f>"Apr 30, "&amp;$G$4</f>
        <v>Apr 30, 2016</v>
      </c>
      <c r="G54" s="121" t="str">
        <f>"Jul 31, "&amp;$G$4</f>
        <v>Jul 31, 2016</v>
      </c>
      <c r="H54" s="418" t="str">
        <f>"Oct 31, "&amp;$H$4-1</f>
        <v>Oct 31, 2016</v>
      </c>
      <c r="I54" s="121" t="str">
        <f>"Jan 31, "&amp;$H$4</f>
        <v>Jan 31, 2017</v>
      </c>
      <c r="J54" s="426" t="str">
        <f>"Apr 30, "&amp;$H$4</f>
        <v>Apr 30, 2017</v>
      </c>
      <c r="K54" s="121" t="str">
        <f>"Jul 31, "&amp;$H$4</f>
        <v>Jul 31, 2017</v>
      </c>
    </row>
    <row r="55" spans="1:13" ht="15" customHeight="1" thickBot="1">
      <c r="A55" s="142"/>
      <c r="B55" s="133"/>
      <c r="C55" s="98" t="s">
        <v>174</v>
      </c>
      <c r="D55" s="143" t="s">
        <v>175</v>
      </c>
      <c r="E55" s="143" t="s">
        <v>175</v>
      </c>
      <c r="F55" s="143" t="s">
        <v>175</v>
      </c>
      <c r="G55" s="143" t="s">
        <v>175</v>
      </c>
      <c r="H55" s="421" t="s">
        <v>175</v>
      </c>
      <c r="I55" s="121" t="s">
        <v>175</v>
      </c>
      <c r="J55" s="429" t="s">
        <v>175</v>
      </c>
      <c r="K55" s="143" t="s">
        <v>175</v>
      </c>
    </row>
    <row r="56" spans="1:13" ht="15" customHeight="1" thickTop="1">
      <c r="A56" s="128" t="s">
        <v>382</v>
      </c>
      <c r="B56" s="140" t="s">
        <v>188</v>
      </c>
      <c r="C56" s="119" t="s">
        <v>189</v>
      </c>
      <c r="D56" s="144" t="str">
        <f>"Jul "&amp;$G$4-2&amp;" - Jun "&amp;$G$4-1</f>
        <v>Jul 2014 - Jun 2015</v>
      </c>
      <c r="E56" s="144" t="str">
        <f>"Oct "&amp;$G$4-2&amp;" - Sep "&amp;$G$4-1</f>
        <v>Oct 2014 - Sep 2015</v>
      </c>
      <c r="F56" s="144" t="str">
        <f>"Jan "&amp;$G$4-1&amp;" - Dec "&amp;$G$4-1</f>
        <v>Jan 2015 - Dec 2015</v>
      </c>
      <c r="G56" s="144" t="str">
        <f>"Apr "&amp;$G$4-1&amp;" - Mar "&amp;$G$4</f>
        <v>Apr 2015 - Mar 2016</v>
      </c>
      <c r="H56" s="144" t="str">
        <f>"Jul "&amp;$H$4-2&amp;" - Jun "&amp;$H$4-1</f>
        <v>Jul 2015 - Jun 2016</v>
      </c>
      <c r="I56" s="144" t="str">
        <f>"Oct "&amp;$H$4-2&amp;" - Sep "&amp;$H$4-1</f>
        <v>Oct 2015 - Sep 2016</v>
      </c>
      <c r="J56" s="144" t="str">
        <f>"Jan "&amp;$H$4-1&amp;" - Dec "&amp;$H$4-1</f>
        <v>Jan 2016 - Dec 2016</v>
      </c>
      <c r="K56" s="144" t="str">
        <f>"Apr "&amp;$H$4-1&amp;" - Mar "&amp;$H$4</f>
        <v>Apr 2016 - Mar 2017</v>
      </c>
      <c r="M56" s="225"/>
    </row>
    <row r="57" spans="1:13" ht="15" customHeight="1">
      <c r="A57" s="132"/>
      <c r="B57" s="131" t="s">
        <v>176</v>
      </c>
      <c r="C57" s="98" t="s">
        <v>173</v>
      </c>
      <c r="D57" s="121" t="str">
        <f>"Oct 31, "&amp;$G$4-1</f>
        <v>Oct 31, 2015</v>
      </c>
      <c r="E57" s="121" t="str">
        <f>"Jan 31, "&amp;$G$4</f>
        <v>Jan 31, 2016</v>
      </c>
      <c r="F57" s="121" t="str">
        <f>"Apr 30, "&amp;$G$4</f>
        <v>Apr 30, 2016</v>
      </c>
      <c r="G57" s="121" t="str">
        <f>"Jul 31, "&amp;$G$4</f>
        <v>Jul 31, 2016</v>
      </c>
      <c r="H57" s="121" t="str">
        <f>"Oct 31, "&amp;$H$4-1</f>
        <v>Oct 31, 2016</v>
      </c>
      <c r="I57" s="121" t="str">
        <f>"Jan 31, "&amp;$H$4</f>
        <v>Jan 31, 2017</v>
      </c>
      <c r="J57" s="121" t="str">
        <f>"Apr 30, "&amp;$H$4</f>
        <v>Apr 30, 2017</v>
      </c>
      <c r="K57" s="121" t="str">
        <f>"Jul 31, "&amp;$H$4</f>
        <v>Jul 31, 2017</v>
      </c>
      <c r="M57" s="225"/>
    </row>
    <row r="58" spans="1:13" ht="15" customHeight="1">
      <c r="A58" s="145"/>
      <c r="B58" s="133"/>
      <c r="C58" s="98" t="s">
        <v>174</v>
      </c>
      <c r="D58" s="143" t="s">
        <v>175</v>
      </c>
      <c r="E58" s="143" t="s">
        <v>175</v>
      </c>
      <c r="F58" s="143" t="s">
        <v>175</v>
      </c>
      <c r="G58" s="143" t="s">
        <v>175</v>
      </c>
      <c r="H58" s="143" t="s">
        <v>175</v>
      </c>
      <c r="I58" s="143" t="s">
        <v>175</v>
      </c>
      <c r="J58" s="143" t="s">
        <v>175</v>
      </c>
      <c r="K58" s="143" t="s">
        <v>175</v>
      </c>
      <c r="M58" s="225"/>
    </row>
    <row r="59" spans="1:13" ht="15" customHeight="1">
      <c r="A59" s="146" t="s">
        <v>190</v>
      </c>
    </row>
    <row r="60" spans="1:13">
      <c r="A60" s="446" t="s">
        <v>478</v>
      </c>
    </row>
  </sheetData>
  <sheetProtection sheet="1" objects="1" scenarios="1"/>
  <autoFilter ref="L10:M60">
    <filterColumn colId="1">
      <filters blank="1"/>
    </filterColumn>
  </autoFilter>
  <mergeCells count="1">
    <mergeCell ref="M9:M10"/>
  </mergeCells>
  <printOptions horizontalCentered="1"/>
  <pageMargins left="0.3" right="0.3" top="0.5" bottom="0.5" header="0.5" footer="0.5"/>
  <pageSetup scale="71" orientation="landscape"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V111"/>
  <sheetViews>
    <sheetView showGridLines="0" zoomScale="80" zoomScaleNormal="80" workbookViewId="0">
      <pane xSplit="1" ySplit="5" topLeftCell="B58" activePane="bottomRight" state="frozen"/>
      <selection activeCell="B6" sqref="B6"/>
      <selection pane="topRight" activeCell="B6" sqref="B6"/>
      <selection pane="bottomLeft" activeCell="B6" sqref="B6"/>
      <selection pane="bottomRight" activeCell="B65" sqref="B65"/>
    </sheetView>
  </sheetViews>
  <sheetFormatPr defaultRowHeight="14.25"/>
  <cols>
    <col min="1" max="1" width="21.5703125" style="247" customWidth="1"/>
    <col min="2" max="2" width="43.5703125" style="246" customWidth="1"/>
    <col min="3" max="3" width="12.42578125" style="289" customWidth="1"/>
    <col min="4" max="11" width="15.5703125" style="246" customWidth="1"/>
    <col min="12" max="16" width="16.42578125" style="246" customWidth="1"/>
    <col min="17" max="18" width="16.42578125" style="246" hidden="1" customWidth="1"/>
    <col min="19" max="20" width="16.42578125" style="246" customWidth="1"/>
    <col min="21" max="21" width="16.42578125" style="246" hidden="1" customWidth="1"/>
    <col min="22" max="22" width="16.42578125" style="246" customWidth="1"/>
    <col min="23" max="16384" width="9.140625" style="246"/>
  </cols>
  <sheetData>
    <row r="1" spans="1:22" ht="20.100000000000001" customHeight="1">
      <c r="A1" s="388" t="s">
        <v>427</v>
      </c>
      <c r="B1" s="389"/>
      <c r="C1" s="389"/>
      <c r="D1" s="389"/>
      <c r="E1" s="389"/>
      <c r="F1" s="389"/>
      <c r="G1" s="389"/>
      <c r="H1" s="389"/>
      <c r="I1" s="389"/>
      <c r="J1" s="389"/>
      <c r="K1" s="389"/>
      <c r="L1" s="389"/>
      <c r="M1" s="389"/>
      <c r="N1" s="389"/>
      <c r="O1" s="389"/>
      <c r="P1" s="389"/>
      <c r="Q1" s="389"/>
      <c r="R1" s="389"/>
      <c r="S1" s="389"/>
      <c r="T1" s="389"/>
      <c r="U1" s="389"/>
      <c r="V1" s="389"/>
    </row>
    <row r="2" spans="1:22" ht="24.95" customHeight="1">
      <c r="A2" s="244" t="s">
        <v>300</v>
      </c>
      <c r="B2" s="245"/>
      <c r="C2" s="245"/>
      <c r="D2" s="245"/>
      <c r="E2" s="245"/>
      <c r="F2" s="245"/>
      <c r="G2" s="245"/>
      <c r="H2" s="245"/>
      <c r="I2" s="245"/>
      <c r="J2" s="245"/>
      <c r="K2" s="245"/>
      <c r="L2" s="245"/>
      <c r="M2" s="245"/>
      <c r="N2" s="245"/>
      <c r="O2" s="245"/>
      <c r="P2" s="245"/>
      <c r="Q2" s="304"/>
      <c r="R2" s="305"/>
      <c r="S2" s="244"/>
      <c r="T2" s="244"/>
      <c r="U2" s="305"/>
      <c r="V2" s="245"/>
    </row>
    <row r="3" spans="1:22" s="302" customFormat="1" ht="24.95" customHeight="1" thickBot="1">
      <c r="A3" s="302">
        <v>1</v>
      </c>
      <c r="B3" s="302">
        <v>2</v>
      </c>
      <c r="C3" s="302">
        <v>3</v>
      </c>
      <c r="D3" s="302">
        <v>4</v>
      </c>
      <c r="E3" s="302">
        <v>5</v>
      </c>
      <c r="F3" s="302">
        <v>6</v>
      </c>
      <c r="G3" s="302">
        <v>7</v>
      </c>
      <c r="H3" s="302">
        <v>8</v>
      </c>
      <c r="I3" s="302">
        <v>9</v>
      </c>
      <c r="J3" s="302">
        <v>10</v>
      </c>
      <c r="K3" s="302">
        <v>11</v>
      </c>
      <c r="L3" s="302">
        <v>12</v>
      </c>
      <c r="M3" s="302">
        <v>13</v>
      </c>
      <c r="N3" s="302">
        <v>14</v>
      </c>
      <c r="O3" s="302">
        <v>15</v>
      </c>
      <c r="P3" s="302">
        <v>16</v>
      </c>
      <c r="Q3" s="302">
        <v>17</v>
      </c>
      <c r="R3" s="302">
        <v>18</v>
      </c>
      <c r="S3" s="302">
        <v>19</v>
      </c>
      <c r="T3" s="302">
        <v>20</v>
      </c>
      <c r="U3" s="303">
        <v>21</v>
      </c>
      <c r="V3" s="302">
        <v>22</v>
      </c>
    </row>
    <row r="4" spans="1:22" ht="24.95" customHeight="1" thickTop="1">
      <c r="B4" s="245"/>
      <c r="C4" s="245"/>
      <c r="D4" s="248" t="s">
        <v>268</v>
      </c>
      <c r="E4" s="249"/>
      <c r="F4" s="250"/>
      <c r="G4" s="250"/>
      <c r="H4" s="250"/>
      <c r="I4" s="250"/>
      <c r="J4" s="250"/>
      <c r="K4" s="251"/>
      <c r="L4" s="252" t="s">
        <v>269</v>
      </c>
      <c r="M4" s="253"/>
      <c r="N4" s="254"/>
      <c r="O4" s="252" t="s">
        <v>270</v>
      </c>
      <c r="P4" s="253"/>
      <c r="Q4" s="253"/>
      <c r="R4" s="253"/>
      <c r="S4" s="253"/>
      <c r="T4" s="253"/>
      <c r="U4" s="253"/>
      <c r="V4" s="254"/>
    </row>
    <row r="5" spans="1:22" ht="71.25" customHeight="1" thickBot="1">
      <c r="A5" s="255" t="s">
        <v>271</v>
      </c>
      <c r="B5" s="255" t="s">
        <v>296</v>
      </c>
      <c r="C5" s="255" t="s">
        <v>272</v>
      </c>
      <c r="D5" s="256" t="s">
        <v>273</v>
      </c>
      <c r="E5" s="257" t="s">
        <v>274</v>
      </c>
      <c r="F5" s="257" t="s">
        <v>275</v>
      </c>
      <c r="G5" s="257" t="s">
        <v>276</v>
      </c>
      <c r="H5" s="257" t="s">
        <v>277</v>
      </c>
      <c r="I5" s="257" t="s">
        <v>278</v>
      </c>
      <c r="J5" s="258" t="s">
        <v>279</v>
      </c>
      <c r="K5" s="259" t="s">
        <v>280</v>
      </c>
      <c r="L5" s="260" t="s">
        <v>281</v>
      </c>
      <c r="M5" s="261" t="s">
        <v>282</v>
      </c>
      <c r="N5" s="262" t="s">
        <v>283</v>
      </c>
      <c r="O5" s="263" t="s">
        <v>274</v>
      </c>
      <c r="P5" s="264" t="s">
        <v>275</v>
      </c>
      <c r="Q5" s="265" t="s">
        <v>276</v>
      </c>
      <c r="R5" s="266" t="s">
        <v>277</v>
      </c>
      <c r="S5" s="266" t="s">
        <v>284</v>
      </c>
      <c r="T5" s="266" t="s">
        <v>285</v>
      </c>
      <c r="U5" s="266" t="s">
        <v>286</v>
      </c>
      <c r="V5" s="267" t="s">
        <v>287</v>
      </c>
    </row>
    <row r="6" spans="1:22" ht="24.95" customHeight="1" thickTop="1">
      <c r="A6" s="268" t="s">
        <v>50</v>
      </c>
      <c r="B6" s="269" t="s">
        <v>14</v>
      </c>
      <c r="C6" s="270" t="s">
        <v>288</v>
      </c>
      <c r="D6" s="271">
        <v>154151</v>
      </c>
      <c r="E6" s="271">
        <v>5331</v>
      </c>
      <c r="F6" s="271">
        <v>29904</v>
      </c>
      <c r="G6" s="271">
        <v>2392</v>
      </c>
      <c r="H6" s="271">
        <v>5438</v>
      </c>
      <c r="I6" s="271">
        <v>87069</v>
      </c>
      <c r="J6" s="271">
        <v>24017</v>
      </c>
      <c r="K6" s="271">
        <f>SUM(F6:I6)</f>
        <v>124803</v>
      </c>
      <c r="L6" s="272">
        <v>8.7999999999999995E-2</v>
      </c>
      <c r="M6" s="272">
        <v>0.21299999999999999</v>
      </c>
      <c r="N6" s="273">
        <v>0.17599999999999999</v>
      </c>
      <c r="O6" s="274">
        <f>L6*E6</f>
        <v>469.12799999999999</v>
      </c>
      <c r="P6" s="275">
        <f>L6*F6</f>
        <v>2631.5519999999997</v>
      </c>
      <c r="Q6" s="275">
        <f>L6*G6</f>
        <v>210.49599999999998</v>
      </c>
      <c r="R6" s="275">
        <f>M6*H6</f>
        <v>1158.2939999999999</v>
      </c>
      <c r="S6" s="275">
        <f>SUM(Q6:R6)</f>
        <v>1368.79</v>
      </c>
      <c r="T6" s="275">
        <f t="shared" ref="T6:T37" si="0">M6*I6</f>
        <v>18545.697</v>
      </c>
      <c r="U6" s="275">
        <f>SUM(S6:T6)</f>
        <v>19914.487000000001</v>
      </c>
      <c r="V6" s="275">
        <f>SUM(P6,U6)</f>
        <v>22546.039000000001</v>
      </c>
    </row>
    <row r="7" spans="1:22" ht="24.95" customHeight="1">
      <c r="A7" s="276" t="s">
        <v>123</v>
      </c>
      <c r="B7" s="277" t="s">
        <v>295</v>
      </c>
      <c r="C7" s="278" t="s">
        <v>289</v>
      </c>
      <c r="D7" s="279">
        <v>37209</v>
      </c>
      <c r="E7" s="279">
        <v>1087</v>
      </c>
      <c r="F7" s="279">
        <v>6852</v>
      </c>
      <c r="G7" s="279">
        <v>465</v>
      </c>
      <c r="H7" s="279">
        <v>878</v>
      </c>
      <c r="I7" s="279">
        <v>21538</v>
      </c>
      <c r="J7" s="279">
        <v>6389</v>
      </c>
      <c r="K7" s="279">
        <f t="shared" ref="K7:K70" si="1">SUM(F7:I7)</f>
        <v>29733</v>
      </c>
      <c r="L7" s="280">
        <v>7.5999999999999998E-2</v>
      </c>
      <c r="M7" s="280">
        <v>0.19500000000000001</v>
      </c>
      <c r="N7" s="281">
        <v>0.16200000000000001</v>
      </c>
      <c r="O7" s="282">
        <f t="shared" ref="O7:O70" si="2">L7*E7</f>
        <v>82.611999999999995</v>
      </c>
      <c r="P7" s="283">
        <f t="shared" ref="P7:P70" si="3">L7*F7</f>
        <v>520.75199999999995</v>
      </c>
      <c r="Q7" s="275">
        <f t="shared" ref="Q7:Q38" si="4">L7*G7</f>
        <v>35.339999999999996</v>
      </c>
      <c r="R7" s="283">
        <f t="shared" ref="R7:R70" si="5">M7*H7</f>
        <v>171.21</v>
      </c>
      <c r="S7" s="275">
        <f t="shared" ref="S7:S70" si="6">SUM(Q7:R7)</f>
        <v>206.55</v>
      </c>
      <c r="T7" s="283">
        <f t="shared" si="0"/>
        <v>4199.91</v>
      </c>
      <c r="U7" s="283">
        <f t="shared" ref="U7:U70" si="7">SUM(S7:T7)</f>
        <v>4406.46</v>
      </c>
      <c r="V7" s="283">
        <f t="shared" ref="V7:V70" si="8">SUM(P7,U7)</f>
        <v>4927.2119999999995</v>
      </c>
    </row>
    <row r="8" spans="1:22" ht="24.95" customHeight="1">
      <c r="A8" s="276" t="s">
        <v>124</v>
      </c>
      <c r="B8" s="277" t="s">
        <v>295</v>
      </c>
      <c r="C8" s="278" t="s">
        <v>289</v>
      </c>
      <c r="D8" s="279">
        <v>10874</v>
      </c>
      <c r="E8" s="279">
        <v>260</v>
      </c>
      <c r="F8" s="279">
        <v>1775</v>
      </c>
      <c r="G8" s="279">
        <v>132</v>
      </c>
      <c r="H8" s="279">
        <v>260</v>
      </c>
      <c r="I8" s="279">
        <v>5918</v>
      </c>
      <c r="J8" s="279">
        <v>2529</v>
      </c>
      <c r="K8" s="279">
        <f t="shared" si="1"/>
        <v>8085</v>
      </c>
      <c r="L8" s="280">
        <v>8.6999999999999994E-2</v>
      </c>
      <c r="M8" s="280">
        <v>0.216</v>
      </c>
      <c r="N8" s="281">
        <v>0.182</v>
      </c>
      <c r="O8" s="282">
        <f t="shared" si="2"/>
        <v>22.619999999999997</v>
      </c>
      <c r="P8" s="283">
        <f t="shared" si="3"/>
        <v>154.42499999999998</v>
      </c>
      <c r="Q8" s="275">
        <f t="shared" si="4"/>
        <v>11.484</v>
      </c>
      <c r="R8" s="283">
        <f t="shared" si="5"/>
        <v>56.16</v>
      </c>
      <c r="S8" s="275">
        <f t="shared" si="6"/>
        <v>67.643999999999991</v>
      </c>
      <c r="T8" s="283">
        <f t="shared" si="0"/>
        <v>1278.288</v>
      </c>
      <c r="U8" s="283">
        <f t="shared" si="7"/>
        <v>1345.932</v>
      </c>
      <c r="V8" s="283">
        <f t="shared" si="8"/>
        <v>1500.357</v>
      </c>
    </row>
    <row r="9" spans="1:22" ht="24.95" customHeight="1">
      <c r="A9" s="276" t="s">
        <v>114</v>
      </c>
      <c r="B9" s="277" t="s">
        <v>21</v>
      </c>
      <c r="C9" s="278" t="s">
        <v>289</v>
      </c>
      <c r="D9" s="279">
        <v>26635</v>
      </c>
      <c r="E9" s="279">
        <v>803</v>
      </c>
      <c r="F9" s="279">
        <v>4770</v>
      </c>
      <c r="G9" s="279">
        <v>340</v>
      </c>
      <c r="H9" s="279">
        <v>764</v>
      </c>
      <c r="I9" s="279">
        <v>15836</v>
      </c>
      <c r="J9" s="279">
        <v>4122</v>
      </c>
      <c r="K9" s="279">
        <f t="shared" si="1"/>
        <v>21710</v>
      </c>
      <c r="L9" s="280">
        <v>8.5000000000000006E-2</v>
      </c>
      <c r="M9" s="280">
        <v>0.23100000000000001</v>
      </c>
      <c r="N9" s="281">
        <v>0.192</v>
      </c>
      <c r="O9" s="282">
        <f t="shared" si="2"/>
        <v>68.25500000000001</v>
      </c>
      <c r="P9" s="283">
        <f t="shared" si="3"/>
        <v>405.45000000000005</v>
      </c>
      <c r="Q9" s="275">
        <f t="shared" si="4"/>
        <v>28.900000000000002</v>
      </c>
      <c r="R9" s="283">
        <f t="shared" si="5"/>
        <v>176.48400000000001</v>
      </c>
      <c r="S9" s="275">
        <f t="shared" si="6"/>
        <v>205.38400000000001</v>
      </c>
      <c r="T9" s="283">
        <f t="shared" si="0"/>
        <v>3658.116</v>
      </c>
      <c r="U9" s="283">
        <f t="shared" si="7"/>
        <v>3863.5</v>
      </c>
      <c r="V9" s="283">
        <f t="shared" si="8"/>
        <v>4268.95</v>
      </c>
    </row>
    <row r="10" spans="1:22" ht="24.95" customHeight="1">
      <c r="A10" s="276" t="s">
        <v>125</v>
      </c>
      <c r="B10" s="277" t="s">
        <v>295</v>
      </c>
      <c r="C10" s="278" t="s">
        <v>289</v>
      </c>
      <c r="D10" s="279">
        <v>27468</v>
      </c>
      <c r="E10" s="279">
        <v>758</v>
      </c>
      <c r="F10" s="279">
        <v>4489</v>
      </c>
      <c r="G10" s="279">
        <v>279</v>
      </c>
      <c r="H10" s="279">
        <v>553</v>
      </c>
      <c r="I10" s="279">
        <v>15281</v>
      </c>
      <c r="J10" s="279">
        <v>6108</v>
      </c>
      <c r="K10" s="279">
        <f t="shared" si="1"/>
        <v>20602</v>
      </c>
      <c r="L10" s="280">
        <v>7.5999999999999998E-2</v>
      </c>
      <c r="M10" s="280">
        <v>0.19700000000000001</v>
      </c>
      <c r="N10" s="281">
        <v>0.16700000000000001</v>
      </c>
      <c r="O10" s="282">
        <f t="shared" si="2"/>
        <v>57.607999999999997</v>
      </c>
      <c r="P10" s="283">
        <f t="shared" si="3"/>
        <v>341.16399999999999</v>
      </c>
      <c r="Q10" s="275">
        <f t="shared" si="4"/>
        <v>21.204000000000001</v>
      </c>
      <c r="R10" s="283">
        <f t="shared" si="5"/>
        <v>108.941</v>
      </c>
      <c r="S10" s="275">
        <f t="shared" si="6"/>
        <v>130.14500000000001</v>
      </c>
      <c r="T10" s="283">
        <f t="shared" si="0"/>
        <v>3010.357</v>
      </c>
      <c r="U10" s="283">
        <f t="shared" si="7"/>
        <v>3140.502</v>
      </c>
      <c r="V10" s="283">
        <f t="shared" si="8"/>
        <v>3481.6660000000002</v>
      </c>
    </row>
    <row r="11" spans="1:22" ht="24.95" customHeight="1">
      <c r="A11" s="276" t="s">
        <v>126</v>
      </c>
      <c r="B11" s="277" t="s">
        <v>295</v>
      </c>
      <c r="C11" s="278" t="s">
        <v>289</v>
      </c>
      <c r="D11" s="279">
        <v>17842</v>
      </c>
      <c r="E11" s="279">
        <v>442</v>
      </c>
      <c r="F11" s="279">
        <v>2459</v>
      </c>
      <c r="G11" s="279">
        <v>196</v>
      </c>
      <c r="H11" s="279">
        <v>451</v>
      </c>
      <c r="I11" s="279">
        <v>10853</v>
      </c>
      <c r="J11" s="279">
        <v>3441</v>
      </c>
      <c r="K11" s="279">
        <f t="shared" si="1"/>
        <v>13959</v>
      </c>
      <c r="L11" s="280">
        <v>8.2000000000000003E-2</v>
      </c>
      <c r="M11" s="280">
        <v>0.21099999999999999</v>
      </c>
      <c r="N11" s="281">
        <v>0.182</v>
      </c>
      <c r="O11" s="282">
        <f t="shared" si="2"/>
        <v>36.244</v>
      </c>
      <c r="P11" s="283">
        <f t="shared" si="3"/>
        <v>201.63800000000001</v>
      </c>
      <c r="Q11" s="275">
        <f t="shared" si="4"/>
        <v>16.071999999999999</v>
      </c>
      <c r="R11" s="283">
        <f t="shared" si="5"/>
        <v>95.161000000000001</v>
      </c>
      <c r="S11" s="275">
        <f t="shared" si="6"/>
        <v>111.233</v>
      </c>
      <c r="T11" s="283">
        <f t="shared" si="0"/>
        <v>2289.9829999999997</v>
      </c>
      <c r="U11" s="283">
        <f t="shared" si="7"/>
        <v>2401.2159999999999</v>
      </c>
      <c r="V11" s="283">
        <f t="shared" si="8"/>
        <v>2602.8539999999998</v>
      </c>
    </row>
    <row r="12" spans="1:22" ht="24.95" customHeight="1">
      <c r="A12" s="276" t="s">
        <v>74</v>
      </c>
      <c r="B12" s="277" t="s">
        <v>17</v>
      </c>
      <c r="C12" s="278" t="s">
        <v>289</v>
      </c>
      <c r="D12" s="279">
        <v>48010</v>
      </c>
      <c r="E12" s="279">
        <v>1548</v>
      </c>
      <c r="F12" s="279">
        <v>8751</v>
      </c>
      <c r="G12" s="279">
        <v>554</v>
      </c>
      <c r="H12" s="279">
        <v>1036</v>
      </c>
      <c r="I12" s="279">
        <v>26140</v>
      </c>
      <c r="J12" s="279">
        <v>9981</v>
      </c>
      <c r="K12" s="279">
        <f t="shared" si="1"/>
        <v>36481</v>
      </c>
      <c r="L12" s="280">
        <v>8.5000000000000006E-2</v>
      </c>
      <c r="M12" s="280">
        <v>0.20300000000000001</v>
      </c>
      <c r="N12" s="281">
        <v>0.17</v>
      </c>
      <c r="O12" s="282">
        <f t="shared" si="2"/>
        <v>131.58000000000001</v>
      </c>
      <c r="P12" s="283">
        <f t="shared" si="3"/>
        <v>743.83500000000004</v>
      </c>
      <c r="Q12" s="275">
        <f t="shared" si="4"/>
        <v>47.09</v>
      </c>
      <c r="R12" s="283">
        <f t="shared" si="5"/>
        <v>210.30800000000002</v>
      </c>
      <c r="S12" s="275">
        <f t="shared" si="6"/>
        <v>257.39800000000002</v>
      </c>
      <c r="T12" s="283">
        <f t="shared" si="0"/>
        <v>5306.42</v>
      </c>
      <c r="U12" s="283">
        <f t="shared" si="7"/>
        <v>5563.8180000000002</v>
      </c>
      <c r="V12" s="283">
        <f t="shared" si="8"/>
        <v>6307.6530000000002</v>
      </c>
    </row>
    <row r="13" spans="1:22" ht="24.95" customHeight="1">
      <c r="A13" s="284" t="s">
        <v>75</v>
      </c>
      <c r="B13" s="285" t="s">
        <v>17</v>
      </c>
      <c r="C13" s="286" t="s">
        <v>289</v>
      </c>
      <c r="D13" s="279">
        <v>20450</v>
      </c>
      <c r="E13" s="279">
        <v>586</v>
      </c>
      <c r="F13" s="279">
        <v>3508</v>
      </c>
      <c r="G13" s="279">
        <v>215</v>
      </c>
      <c r="H13" s="279">
        <v>419</v>
      </c>
      <c r="I13" s="279">
        <v>12042</v>
      </c>
      <c r="J13" s="279">
        <v>3680</v>
      </c>
      <c r="K13" s="279">
        <f t="shared" si="1"/>
        <v>16184</v>
      </c>
      <c r="L13" s="280">
        <v>8.6999999999999994E-2</v>
      </c>
      <c r="M13" s="280">
        <v>0.248</v>
      </c>
      <c r="N13" s="281">
        <v>0.20599999999999999</v>
      </c>
      <c r="O13" s="282">
        <f t="shared" si="2"/>
        <v>50.981999999999999</v>
      </c>
      <c r="P13" s="283">
        <f t="shared" si="3"/>
        <v>305.19599999999997</v>
      </c>
      <c r="Q13" s="275">
        <f t="shared" si="4"/>
        <v>18.704999999999998</v>
      </c>
      <c r="R13" s="283">
        <f t="shared" si="5"/>
        <v>103.91200000000001</v>
      </c>
      <c r="S13" s="275">
        <f t="shared" si="6"/>
        <v>122.617</v>
      </c>
      <c r="T13" s="283">
        <f t="shared" si="0"/>
        <v>2986.4160000000002</v>
      </c>
      <c r="U13" s="283">
        <f t="shared" si="7"/>
        <v>3109.0330000000004</v>
      </c>
      <c r="V13" s="283">
        <f t="shared" si="8"/>
        <v>3414.2290000000003</v>
      </c>
    </row>
    <row r="14" spans="1:22" ht="24.95" customHeight="1">
      <c r="A14" s="284" t="s">
        <v>93</v>
      </c>
      <c r="B14" s="285" t="s">
        <v>18</v>
      </c>
      <c r="C14" s="286" t="s">
        <v>289</v>
      </c>
      <c r="D14" s="279">
        <v>35226</v>
      </c>
      <c r="E14" s="279">
        <v>1078</v>
      </c>
      <c r="F14" s="279">
        <v>6648</v>
      </c>
      <c r="G14" s="279">
        <v>455</v>
      </c>
      <c r="H14" s="279">
        <v>906</v>
      </c>
      <c r="I14" s="279">
        <v>19979</v>
      </c>
      <c r="J14" s="279">
        <v>6160</v>
      </c>
      <c r="K14" s="279">
        <f t="shared" si="1"/>
        <v>27988</v>
      </c>
      <c r="L14" s="280">
        <v>8.5999999999999993E-2</v>
      </c>
      <c r="M14" s="280">
        <v>0.21199999999999999</v>
      </c>
      <c r="N14" s="281">
        <v>0.17699999999999999</v>
      </c>
      <c r="O14" s="282">
        <f t="shared" si="2"/>
        <v>92.707999999999998</v>
      </c>
      <c r="P14" s="283">
        <f t="shared" si="3"/>
        <v>571.72799999999995</v>
      </c>
      <c r="Q14" s="275">
        <f t="shared" si="4"/>
        <v>39.129999999999995</v>
      </c>
      <c r="R14" s="283">
        <f t="shared" si="5"/>
        <v>192.072</v>
      </c>
      <c r="S14" s="275">
        <f t="shared" si="6"/>
        <v>231.202</v>
      </c>
      <c r="T14" s="283">
        <f t="shared" si="0"/>
        <v>4235.5479999999998</v>
      </c>
      <c r="U14" s="283">
        <f t="shared" si="7"/>
        <v>4466.75</v>
      </c>
      <c r="V14" s="283">
        <f t="shared" si="8"/>
        <v>5038.4780000000001</v>
      </c>
    </row>
    <row r="15" spans="1:22" ht="24.95" customHeight="1">
      <c r="A15" s="284" t="s">
        <v>69</v>
      </c>
      <c r="B15" s="285" t="s">
        <v>16</v>
      </c>
      <c r="C15" s="286" t="s">
        <v>289</v>
      </c>
      <c r="D15" s="279">
        <v>114882</v>
      </c>
      <c r="E15" s="279">
        <v>3187</v>
      </c>
      <c r="F15" s="279">
        <v>17605</v>
      </c>
      <c r="G15" s="279">
        <v>1018</v>
      </c>
      <c r="H15" s="279">
        <v>2076</v>
      </c>
      <c r="I15" s="279">
        <v>61680</v>
      </c>
      <c r="J15" s="279">
        <v>29316</v>
      </c>
      <c r="K15" s="279">
        <f t="shared" si="1"/>
        <v>82379</v>
      </c>
      <c r="L15" s="280">
        <v>7.8E-2</v>
      </c>
      <c r="M15" s="280">
        <v>0.2</v>
      </c>
      <c r="N15" s="281">
        <v>0.17</v>
      </c>
      <c r="O15" s="282">
        <f t="shared" si="2"/>
        <v>248.58600000000001</v>
      </c>
      <c r="P15" s="283">
        <f t="shared" si="3"/>
        <v>1373.19</v>
      </c>
      <c r="Q15" s="275">
        <f t="shared" si="4"/>
        <v>79.403999999999996</v>
      </c>
      <c r="R15" s="283">
        <f t="shared" si="5"/>
        <v>415.20000000000005</v>
      </c>
      <c r="S15" s="275">
        <f t="shared" si="6"/>
        <v>494.60400000000004</v>
      </c>
      <c r="T15" s="283">
        <f t="shared" si="0"/>
        <v>12336</v>
      </c>
      <c r="U15" s="283">
        <f t="shared" si="7"/>
        <v>12830.603999999999</v>
      </c>
      <c r="V15" s="283">
        <f t="shared" si="8"/>
        <v>14203.794</v>
      </c>
    </row>
    <row r="16" spans="1:22" ht="24.95" customHeight="1">
      <c r="A16" s="284" t="s">
        <v>127</v>
      </c>
      <c r="B16" s="285" t="s">
        <v>295</v>
      </c>
      <c r="C16" s="286" t="s">
        <v>288</v>
      </c>
      <c r="D16" s="279">
        <v>248578</v>
      </c>
      <c r="E16" s="279">
        <v>7837</v>
      </c>
      <c r="F16" s="279">
        <v>41423</v>
      </c>
      <c r="G16" s="279">
        <v>2884</v>
      </c>
      <c r="H16" s="279">
        <v>5859</v>
      </c>
      <c r="I16" s="279">
        <v>147277</v>
      </c>
      <c r="J16" s="279">
        <v>43298</v>
      </c>
      <c r="K16" s="279">
        <f t="shared" si="1"/>
        <v>197443</v>
      </c>
      <c r="L16" s="280">
        <v>7.6999999999999999E-2</v>
      </c>
      <c r="M16" s="280">
        <v>0.185</v>
      </c>
      <c r="N16" s="281">
        <v>0.158</v>
      </c>
      <c r="O16" s="282">
        <f t="shared" si="2"/>
        <v>603.44899999999996</v>
      </c>
      <c r="P16" s="283">
        <f t="shared" si="3"/>
        <v>3189.5709999999999</v>
      </c>
      <c r="Q16" s="275">
        <f t="shared" si="4"/>
        <v>222.06799999999998</v>
      </c>
      <c r="R16" s="283">
        <f t="shared" si="5"/>
        <v>1083.915</v>
      </c>
      <c r="S16" s="275">
        <f t="shared" si="6"/>
        <v>1305.9829999999999</v>
      </c>
      <c r="T16" s="283">
        <f t="shared" si="0"/>
        <v>27246.244999999999</v>
      </c>
      <c r="U16" s="283">
        <f t="shared" si="7"/>
        <v>28552.227999999999</v>
      </c>
      <c r="V16" s="283">
        <f t="shared" si="8"/>
        <v>31741.798999999999</v>
      </c>
    </row>
    <row r="17" spans="1:22" ht="24.95" customHeight="1">
      <c r="A17" s="284" t="s">
        <v>106</v>
      </c>
      <c r="B17" s="285" t="s">
        <v>20</v>
      </c>
      <c r="C17" s="286" t="s">
        <v>289</v>
      </c>
      <c r="D17" s="279">
        <v>89604</v>
      </c>
      <c r="E17" s="279">
        <v>2609</v>
      </c>
      <c r="F17" s="279">
        <v>16406</v>
      </c>
      <c r="G17" s="279">
        <v>1702</v>
      </c>
      <c r="H17" s="279">
        <v>2811</v>
      </c>
      <c r="I17" s="279">
        <v>50316</v>
      </c>
      <c r="J17" s="279">
        <v>15760</v>
      </c>
      <c r="K17" s="279">
        <f t="shared" si="1"/>
        <v>71235</v>
      </c>
      <c r="L17" s="280">
        <v>0.08</v>
      </c>
      <c r="M17" s="280">
        <v>0.187</v>
      </c>
      <c r="N17" s="281">
        <v>0.156</v>
      </c>
      <c r="O17" s="282">
        <f t="shared" si="2"/>
        <v>208.72</v>
      </c>
      <c r="P17" s="283">
        <f t="shared" si="3"/>
        <v>1312.48</v>
      </c>
      <c r="Q17" s="275">
        <f t="shared" si="4"/>
        <v>136.16</v>
      </c>
      <c r="R17" s="283">
        <f t="shared" si="5"/>
        <v>525.65700000000004</v>
      </c>
      <c r="S17" s="275">
        <f t="shared" si="6"/>
        <v>661.81700000000001</v>
      </c>
      <c r="T17" s="283">
        <f t="shared" si="0"/>
        <v>9409.0920000000006</v>
      </c>
      <c r="U17" s="283">
        <f t="shared" si="7"/>
        <v>10070.909</v>
      </c>
      <c r="V17" s="283">
        <f t="shared" si="8"/>
        <v>11383.388999999999</v>
      </c>
    </row>
    <row r="18" spans="1:22" ht="24.95" customHeight="1">
      <c r="A18" s="284" t="s">
        <v>51</v>
      </c>
      <c r="B18" s="285" t="s">
        <v>14</v>
      </c>
      <c r="C18" s="286" t="s">
        <v>288</v>
      </c>
      <c r="D18" s="279">
        <v>186531</v>
      </c>
      <c r="E18" s="279">
        <v>7146</v>
      </c>
      <c r="F18" s="279">
        <v>41700</v>
      </c>
      <c r="G18" s="279">
        <v>2533</v>
      </c>
      <c r="H18" s="279">
        <v>5009</v>
      </c>
      <c r="I18" s="279">
        <v>107427</v>
      </c>
      <c r="J18" s="279">
        <v>22716</v>
      </c>
      <c r="K18" s="279">
        <f t="shared" si="1"/>
        <v>156669</v>
      </c>
      <c r="L18" s="280">
        <v>8.1000000000000003E-2</v>
      </c>
      <c r="M18" s="280">
        <v>0.20899999999999999</v>
      </c>
      <c r="N18" s="281">
        <v>0.16800000000000001</v>
      </c>
      <c r="O18" s="282">
        <f t="shared" si="2"/>
        <v>578.82600000000002</v>
      </c>
      <c r="P18" s="283">
        <f t="shared" si="3"/>
        <v>3377.7000000000003</v>
      </c>
      <c r="Q18" s="275">
        <f t="shared" si="4"/>
        <v>205.173</v>
      </c>
      <c r="R18" s="283">
        <f t="shared" si="5"/>
        <v>1046.8809999999999</v>
      </c>
      <c r="S18" s="275">
        <f t="shared" si="6"/>
        <v>1252.0539999999999</v>
      </c>
      <c r="T18" s="283">
        <f t="shared" si="0"/>
        <v>22452.242999999999</v>
      </c>
      <c r="U18" s="283">
        <f t="shared" si="7"/>
        <v>23704.296999999999</v>
      </c>
      <c r="V18" s="283">
        <f t="shared" si="8"/>
        <v>27081.996999999999</v>
      </c>
    </row>
    <row r="19" spans="1:22" ht="24.95" customHeight="1">
      <c r="A19" s="284" t="s">
        <v>128</v>
      </c>
      <c r="B19" s="285" t="s">
        <v>295</v>
      </c>
      <c r="C19" s="286" t="s">
        <v>289</v>
      </c>
      <c r="D19" s="279">
        <v>82362</v>
      </c>
      <c r="E19" s="279">
        <v>2395</v>
      </c>
      <c r="F19" s="279">
        <v>15188</v>
      </c>
      <c r="G19" s="279">
        <v>1099</v>
      </c>
      <c r="H19" s="279">
        <v>2348</v>
      </c>
      <c r="I19" s="279">
        <v>47273</v>
      </c>
      <c r="J19" s="279">
        <v>14059</v>
      </c>
      <c r="K19" s="279">
        <f t="shared" si="1"/>
        <v>65908</v>
      </c>
      <c r="L19" s="280">
        <v>7.6999999999999999E-2</v>
      </c>
      <c r="M19" s="280">
        <v>0.186</v>
      </c>
      <c r="N19" s="281">
        <v>0.156</v>
      </c>
      <c r="O19" s="282">
        <f t="shared" si="2"/>
        <v>184.41499999999999</v>
      </c>
      <c r="P19" s="283">
        <f t="shared" si="3"/>
        <v>1169.4759999999999</v>
      </c>
      <c r="Q19" s="275">
        <f t="shared" si="4"/>
        <v>84.623000000000005</v>
      </c>
      <c r="R19" s="283">
        <f t="shared" si="5"/>
        <v>436.72800000000001</v>
      </c>
      <c r="S19" s="275">
        <f t="shared" si="6"/>
        <v>521.351</v>
      </c>
      <c r="T19" s="283">
        <f t="shared" si="0"/>
        <v>8792.7780000000002</v>
      </c>
      <c r="U19" s="283">
        <f t="shared" si="7"/>
        <v>9314.1290000000008</v>
      </c>
      <c r="V19" s="283">
        <f t="shared" si="8"/>
        <v>10483.605000000001</v>
      </c>
    </row>
    <row r="20" spans="1:22" ht="24.95" customHeight="1">
      <c r="A20" s="284" t="s">
        <v>76</v>
      </c>
      <c r="B20" s="285" t="s">
        <v>17</v>
      </c>
      <c r="C20" s="286" t="s">
        <v>289</v>
      </c>
      <c r="D20" s="279">
        <v>9802</v>
      </c>
      <c r="E20" s="279">
        <v>239</v>
      </c>
      <c r="F20" s="279">
        <v>1944</v>
      </c>
      <c r="G20" s="279">
        <v>141</v>
      </c>
      <c r="H20" s="279">
        <v>251</v>
      </c>
      <c r="I20" s="279">
        <v>5766</v>
      </c>
      <c r="J20" s="279">
        <v>1461</v>
      </c>
      <c r="K20" s="279">
        <f t="shared" si="1"/>
        <v>8102</v>
      </c>
      <c r="L20" s="280">
        <v>6.8000000000000005E-2</v>
      </c>
      <c r="M20" s="280">
        <v>0.19500000000000001</v>
      </c>
      <c r="N20" s="281">
        <v>0.156</v>
      </c>
      <c r="O20" s="282">
        <f t="shared" si="2"/>
        <v>16.252000000000002</v>
      </c>
      <c r="P20" s="283">
        <f t="shared" si="3"/>
        <v>132.19200000000001</v>
      </c>
      <c r="Q20" s="275">
        <f t="shared" si="4"/>
        <v>9.588000000000001</v>
      </c>
      <c r="R20" s="283">
        <f t="shared" si="5"/>
        <v>48.945</v>
      </c>
      <c r="S20" s="275">
        <f t="shared" si="6"/>
        <v>58.533000000000001</v>
      </c>
      <c r="T20" s="283">
        <f t="shared" si="0"/>
        <v>1124.3700000000001</v>
      </c>
      <c r="U20" s="283">
        <f t="shared" si="7"/>
        <v>1182.903</v>
      </c>
      <c r="V20" s="283">
        <f t="shared" si="8"/>
        <v>1315.095</v>
      </c>
    </row>
    <row r="21" spans="1:22" ht="24.95" customHeight="1">
      <c r="A21" s="284" t="s">
        <v>70</v>
      </c>
      <c r="B21" s="285" t="s">
        <v>16</v>
      </c>
      <c r="C21" s="286" t="s">
        <v>289</v>
      </c>
      <c r="D21" s="279">
        <v>69138</v>
      </c>
      <c r="E21" s="279">
        <v>1865</v>
      </c>
      <c r="F21" s="279">
        <v>10642</v>
      </c>
      <c r="G21" s="279">
        <v>790</v>
      </c>
      <c r="H21" s="279">
        <v>1501</v>
      </c>
      <c r="I21" s="279">
        <v>39709</v>
      </c>
      <c r="J21" s="279">
        <v>14631</v>
      </c>
      <c r="K21" s="279">
        <f t="shared" si="1"/>
        <v>52642</v>
      </c>
      <c r="L21" s="280">
        <v>7.3999999999999996E-2</v>
      </c>
      <c r="M21" s="280">
        <v>0.188</v>
      </c>
      <c r="N21" s="281">
        <v>0.161</v>
      </c>
      <c r="O21" s="282">
        <f t="shared" si="2"/>
        <v>138.01</v>
      </c>
      <c r="P21" s="283">
        <f t="shared" si="3"/>
        <v>787.50799999999992</v>
      </c>
      <c r="Q21" s="275">
        <f t="shared" si="4"/>
        <v>58.459999999999994</v>
      </c>
      <c r="R21" s="283">
        <f t="shared" si="5"/>
        <v>282.18799999999999</v>
      </c>
      <c r="S21" s="275">
        <f t="shared" si="6"/>
        <v>340.64799999999997</v>
      </c>
      <c r="T21" s="283">
        <f t="shared" si="0"/>
        <v>7465.2920000000004</v>
      </c>
      <c r="U21" s="283">
        <f t="shared" si="7"/>
        <v>7805.9400000000005</v>
      </c>
      <c r="V21" s="283">
        <f t="shared" si="8"/>
        <v>8593.4480000000003</v>
      </c>
    </row>
    <row r="22" spans="1:22" ht="24.95" customHeight="1">
      <c r="A22" s="284" t="s">
        <v>52</v>
      </c>
      <c r="B22" s="285" t="s">
        <v>14</v>
      </c>
      <c r="C22" s="286" t="s">
        <v>289</v>
      </c>
      <c r="D22" s="279">
        <v>23582</v>
      </c>
      <c r="E22" s="279">
        <v>600</v>
      </c>
      <c r="F22" s="279">
        <v>3906</v>
      </c>
      <c r="G22" s="279">
        <v>257</v>
      </c>
      <c r="H22" s="279">
        <v>558</v>
      </c>
      <c r="I22" s="279">
        <v>14064</v>
      </c>
      <c r="J22" s="279">
        <v>4197</v>
      </c>
      <c r="K22" s="279">
        <f t="shared" si="1"/>
        <v>18785</v>
      </c>
      <c r="L22" s="280">
        <v>8.1000000000000003E-2</v>
      </c>
      <c r="M22" s="280">
        <v>0.23200000000000001</v>
      </c>
      <c r="N22" s="281">
        <v>0.19400000000000001</v>
      </c>
      <c r="O22" s="282">
        <f t="shared" si="2"/>
        <v>48.6</v>
      </c>
      <c r="P22" s="283">
        <f t="shared" si="3"/>
        <v>316.38600000000002</v>
      </c>
      <c r="Q22" s="275">
        <f t="shared" si="4"/>
        <v>20.817</v>
      </c>
      <c r="R22" s="283">
        <f t="shared" si="5"/>
        <v>129.45600000000002</v>
      </c>
      <c r="S22" s="275">
        <f t="shared" si="6"/>
        <v>150.27300000000002</v>
      </c>
      <c r="T22" s="283">
        <f t="shared" si="0"/>
        <v>3262.848</v>
      </c>
      <c r="U22" s="283">
        <f t="shared" si="7"/>
        <v>3413.1210000000001</v>
      </c>
      <c r="V22" s="283">
        <f t="shared" si="8"/>
        <v>3729.5070000000001</v>
      </c>
    </row>
    <row r="23" spans="1:22" ht="24.95" customHeight="1">
      <c r="A23" s="284" t="s">
        <v>107</v>
      </c>
      <c r="B23" s="285" t="s">
        <v>20</v>
      </c>
      <c r="C23" s="286" t="s">
        <v>288</v>
      </c>
      <c r="D23" s="279">
        <v>156287</v>
      </c>
      <c r="E23" s="279">
        <v>5438</v>
      </c>
      <c r="F23" s="279">
        <v>30614</v>
      </c>
      <c r="G23" s="279">
        <v>2126</v>
      </c>
      <c r="H23" s="279">
        <v>4264</v>
      </c>
      <c r="I23" s="279">
        <v>89481</v>
      </c>
      <c r="J23" s="279">
        <v>24364</v>
      </c>
      <c r="K23" s="279">
        <f t="shared" si="1"/>
        <v>126485</v>
      </c>
      <c r="L23" s="280">
        <v>7.9000000000000001E-2</v>
      </c>
      <c r="M23" s="280">
        <v>0.17499999999999999</v>
      </c>
      <c r="N23" s="281">
        <v>0.14699999999999999</v>
      </c>
      <c r="O23" s="282">
        <f t="shared" si="2"/>
        <v>429.60200000000003</v>
      </c>
      <c r="P23" s="283">
        <f t="shared" si="3"/>
        <v>2418.5059999999999</v>
      </c>
      <c r="Q23" s="275">
        <f t="shared" si="4"/>
        <v>167.95400000000001</v>
      </c>
      <c r="R23" s="283">
        <f t="shared" si="5"/>
        <v>746.19999999999993</v>
      </c>
      <c r="S23" s="275">
        <f t="shared" si="6"/>
        <v>914.154</v>
      </c>
      <c r="T23" s="283">
        <f t="shared" si="0"/>
        <v>15659.174999999999</v>
      </c>
      <c r="U23" s="283">
        <f t="shared" si="7"/>
        <v>16573.328999999998</v>
      </c>
      <c r="V23" s="283">
        <f t="shared" si="8"/>
        <v>18991.834999999999</v>
      </c>
    </row>
    <row r="24" spans="1:22" ht="24.95" customHeight="1">
      <c r="A24" s="284" t="s">
        <v>53</v>
      </c>
      <c r="B24" s="285" t="s">
        <v>14</v>
      </c>
      <c r="C24" s="286" t="s">
        <v>289</v>
      </c>
      <c r="D24" s="279">
        <v>67857</v>
      </c>
      <c r="E24" s="279">
        <v>1960</v>
      </c>
      <c r="F24" s="279">
        <v>12024</v>
      </c>
      <c r="G24" s="279">
        <v>721</v>
      </c>
      <c r="H24" s="279">
        <v>1340</v>
      </c>
      <c r="I24" s="279">
        <v>37438</v>
      </c>
      <c r="J24" s="279">
        <v>14374</v>
      </c>
      <c r="K24" s="279">
        <f t="shared" si="1"/>
        <v>51523</v>
      </c>
      <c r="L24" s="280">
        <v>8.8999999999999996E-2</v>
      </c>
      <c r="M24" s="280">
        <v>0.22500000000000001</v>
      </c>
      <c r="N24" s="281">
        <v>0.188</v>
      </c>
      <c r="O24" s="282">
        <f t="shared" si="2"/>
        <v>174.44</v>
      </c>
      <c r="P24" s="283">
        <f t="shared" si="3"/>
        <v>1070.136</v>
      </c>
      <c r="Q24" s="275">
        <f t="shared" si="4"/>
        <v>64.168999999999997</v>
      </c>
      <c r="R24" s="283">
        <f t="shared" si="5"/>
        <v>301.5</v>
      </c>
      <c r="S24" s="275">
        <f t="shared" si="6"/>
        <v>365.66899999999998</v>
      </c>
      <c r="T24" s="283">
        <f t="shared" si="0"/>
        <v>8423.5500000000011</v>
      </c>
      <c r="U24" s="283">
        <f t="shared" si="7"/>
        <v>8789.219000000001</v>
      </c>
      <c r="V24" s="283">
        <f t="shared" si="8"/>
        <v>9859.3550000000014</v>
      </c>
    </row>
    <row r="25" spans="1:22" ht="24.95" customHeight="1">
      <c r="A25" s="284" t="s">
        <v>129</v>
      </c>
      <c r="B25" s="285" t="s">
        <v>295</v>
      </c>
      <c r="C25" s="286" t="s">
        <v>289</v>
      </c>
      <c r="D25" s="279">
        <v>26907</v>
      </c>
      <c r="E25" s="279">
        <v>578</v>
      </c>
      <c r="F25" s="279">
        <v>4311</v>
      </c>
      <c r="G25" s="279">
        <v>301</v>
      </c>
      <c r="H25" s="279">
        <v>543</v>
      </c>
      <c r="I25" s="279">
        <v>14192</v>
      </c>
      <c r="J25" s="279">
        <v>6982</v>
      </c>
      <c r="K25" s="279">
        <f t="shared" si="1"/>
        <v>19347</v>
      </c>
      <c r="L25" s="280">
        <v>7.9000000000000001E-2</v>
      </c>
      <c r="M25" s="280">
        <v>0.17199999999999999</v>
      </c>
      <c r="N25" s="281">
        <v>0.14799999999999999</v>
      </c>
      <c r="O25" s="282">
        <f t="shared" si="2"/>
        <v>45.661999999999999</v>
      </c>
      <c r="P25" s="283">
        <f t="shared" si="3"/>
        <v>340.56900000000002</v>
      </c>
      <c r="Q25" s="275">
        <f t="shared" si="4"/>
        <v>23.779</v>
      </c>
      <c r="R25" s="283">
        <f t="shared" si="5"/>
        <v>93.395999999999987</v>
      </c>
      <c r="S25" s="275">
        <f t="shared" si="6"/>
        <v>117.17499999999998</v>
      </c>
      <c r="T25" s="283">
        <f t="shared" si="0"/>
        <v>2441.0239999999999</v>
      </c>
      <c r="U25" s="283">
        <f t="shared" si="7"/>
        <v>2558.1990000000001</v>
      </c>
      <c r="V25" s="283">
        <f t="shared" si="8"/>
        <v>2898.768</v>
      </c>
    </row>
    <row r="26" spans="1:22" ht="24.95" customHeight="1">
      <c r="A26" s="284" t="s">
        <v>77</v>
      </c>
      <c r="B26" s="285" t="s">
        <v>17</v>
      </c>
      <c r="C26" s="286" t="s">
        <v>289</v>
      </c>
      <c r="D26" s="279">
        <v>14761</v>
      </c>
      <c r="E26" s="279">
        <v>480</v>
      </c>
      <c r="F26" s="279">
        <v>2699</v>
      </c>
      <c r="G26" s="279">
        <v>206</v>
      </c>
      <c r="H26" s="279">
        <v>323</v>
      </c>
      <c r="I26" s="279">
        <v>7913</v>
      </c>
      <c r="J26" s="279">
        <v>3140</v>
      </c>
      <c r="K26" s="279">
        <f t="shared" si="1"/>
        <v>11141</v>
      </c>
      <c r="L26" s="280">
        <v>8.2000000000000003E-2</v>
      </c>
      <c r="M26" s="280">
        <v>0.20599999999999999</v>
      </c>
      <c r="N26" s="281">
        <v>0.17</v>
      </c>
      <c r="O26" s="282">
        <f t="shared" si="2"/>
        <v>39.36</v>
      </c>
      <c r="P26" s="283">
        <f t="shared" si="3"/>
        <v>221.31800000000001</v>
      </c>
      <c r="Q26" s="275">
        <f t="shared" si="4"/>
        <v>16.891999999999999</v>
      </c>
      <c r="R26" s="283">
        <f t="shared" si="5"/>
        <v>66.537999999999997</v>
      </c>
      <c r="S26" s="275">
        <f t="shared" si="6"/>
        <v>83.429999999999993</v>
      </c>
      <c r="T26" s="283">
        <f t="shared" si="0"/>
        <v>1630.078</v>
      </c>
      <c r="U26" s="283">
        <f t="shared" si="7"/>
        <v>1713.508</v>
      </c>
      <c r="V26" s="283">
        <f t="shared" si="8"/>
        <v>1934.826</v>
      </c>
    </row>
    <row r="27" spans="1:22" ht="24.95" customHeight="1">
      <c r="A27" s="284" t="s">
        <v>130</v>
      </c>
      <c r="B27" s="285" t="s">
        <v>295</v>
      </c>
      <c r="C27" s="286" t="s">
        <v>289</v>
      </c>
      <c r="D27" s="279">
        <v>10559</v>
      </c>
      <c r="E27" s="279">
        <v>192</v>
      </c>
      <c r="F27" s="279">
        <v>1649</v>
      </c>
      <c r="G27" s="279">
        <v>103</v>
      </c>
      <c r="H27" s="279">
        <v>202</v>
      </c>
      <c r="I27" s="279">
        <v>5540</v>
      </c>
      <c r="J27" s="279">
        <v>2873</v>
      </c>
      <c r="K27" s="279">
        <f t="shared" si="1"/>
        <v>7494</v>
      </c>
      <c r="L27" s="280">
        <v>7.5999999999999998E-2</v>
      </c>
      <c r="M27" s="280">
        <v>0.187</v>
      </c>
      <c r="N27" s="281">
        <v>0.16</v>
      </c>
      <c r="O27" s="282">
        <f t="shared" si="2"/>
        <v>14.591999999999999</v>
      </c>
      <c r="P27" s="283">
        <f t="shared" si="3"/>
        <v>125.324</v>
      </c>
      <c r="Q27" s="275">
        <f t="shared" si="4"/>
        <v>7.8279999999999994</v>
      </c>
      <c r="R27" s="283">
        <f t="shared" si="5"/>
        <v>37.774000000000001</v>
      </c>
      <c r="S27" s="275">
        <f t="shared" si="6"/>
        <v>45.602000000000004</v>
      </c>
      <c r="T27" s="283">
        <f t="shared" si="0"/>
        <v>1035.98</v>
      </c>
      <c r="U27" s="283">
        <f t="shared" si="7"/>
        <v>1081.5820000000001</v>
      </c>
      <c r="V27" s="283">
        <f t="shared" si="8"/>
        <v>1206.9060000000002</v>
      </c>
    </row>
    <row r="28" spans="1:22" ht="24.95" customHeight="1">
      <c r="A28" s="284" t="s">
        <v>108</v>
      </c>
      <c r="B28" s="285" t="s">
        <v>20</v>
      </c>
      <c r="C28" s="286" t="s">
        <v>289</v>
      </c>
      <c r="D28" s="279">
        <v>97280</v>
      </c>
      <c r="E28" s="279">
        <v>3237</v>
      </c>
      <c r="F28" s="279">
        <v>18607</v>
      </c>
      <c r="G28" s="279">
        <v>1461</v>
      </c>
      <c r="H28" s="279">
        <v>3026</v>
      </c>
      <c r="I28" s="279">
        <v>54887</v>
      </c>
      <c r="J28" s="279">
        <v>16062</v>
      </c>
      <c r="K28" s="279">
        <f t="shared" si="1"/>
        <v>77981</v>
      </c>
      <c r="L28" s="280">
        <v>7.9000000000000001E-2</v>
      </c>
      <c r="M28" s="280">
        <v>0.193</v>
      </c>
      <c r="N28" s="281">
        <v>0.16</v>
      </c>
      <c r="O28" s="282">
        <f t="shared" si="2"/>
        <v>255.72300000000001</v>
      </c>
      <c r="P28" s="283">
        <f t="shared" si="3"/>
        <v>1469.953</v>
      </c>
      <c r="Q28" s="275">
        <f t="shared" si="4"/>
        <v>115.419</v>
      </c>
      <c r="R28" s="283">
        <f t="shared" si="5"/>
        <v>584.01800000000003</v>
      </c>
      <c r="S28" s="275">
        <f t="shared" si="6"/>
        <v>699.43700000000001</v>
      </c>
      <c r="T28" s="283">
        <f t="shared" si="0"/>
        <v>10593.191000000001</v>
      </c>
      <c r="U28" s="283">
        <f t="shared" si="7"/>
        <v>11292.628000000001</v>
      </c>
      <c r="V28" s="283">
        <f t="shared" si="8"/>
        <v>12762.581</v>
      </c>
    </row>
    <row r="29" spans="1:22" ht="24.95" customHeight="1">
      <c r="A29" s="284" t="s">
        <v>94</v>
      </c>
      <c r="B29" s="285" t="s">
        <v>18</v>
      </c>
      <c r="C29" s="286" t="s">
        <v>289</v>
      </c>
      <c r="D29" s="279">
        <v>57846</v>
      </c>
      <c r="E29" s="279">
        <v>1874</v>
      </c>
      <c r="F29" s="279">
        <v>11035</v>
      </c>
      <c r="G29" s="279">
        <v>825</v>
      </c>
      <c r="H29" s="279">
        <v>1439</v>
      </c>
      <c r="I29" s="279">
        <v>32914</v>
      </c>
      <c r="J29" s="279">
        <v>9759</v>
      </c>
      <c r="K29" s="279">
        <f t="shared" si="1"/>
        <v>46213</v>
      </c>
      <c r="L29" s="280">
        <v>8.5000000000000006E-2</v>
      </c>
      <c r="M29" s="280">
        <v>0.222</v>
      </c>
      <c r="N29" s="281">
        <v>0.183</v>
      </c>
      <c r="O29" s="282">
        <f t="shared" si="2"/>
        <v>159.29000000000002</v>
      </c>
      <c r="P29" s="283">
        <f t="shared" si="3"/>
        <v>937.97500000000002</v>
      </c>
      <c r="Q29" s="275">
        <f t="shared" si="4"/>
        <v>70.125</v>
      </c>
      <c r="R29" s="283">
        <f t="shared" si="5"/>
        <v>319.45800000000003</v>
      </c>
      <c r="S29" s="275">
        <f t="shared" si="6"/>
        <v>389.58300000000003</v>
      </c>
      <c r="T29" s="283">
        <f t="shared" si="0"/>
        <v>7306.9080000000004</v>
      </c>
      <c r="U29" s="283">
        <f t="shared" si="7"/>
        <v>7696.491</v>
      </c>
      <c r="V29" s="283">
        <f t="shared" si="8"/>
        <v>8634.4660000000003</v>
      </c>
    </row>
    <row r="30" spans="1:22" ht="24.95" customHeight="1">
      <c r="A30" s="284" t="s">
        <v>78</v>
      </c>
      <c r="B30" s="285" t="s">
        <v>17</v>
      </c>
      <c r="C30" s="286" t="s">
        <v>289</v>
      </c>
      <c r="D30" s="279">
        <v>105373</v>
      </c>
      <c r="E30" s="279">
        <v>4964</v>
      </c>
      <c r="F30" s="279">
        <v>20610</v>
      </c>
      <c r="G30" s="279">
        <v>1281</v>
      </c>
      <c r="H30" s="279">
        <v>3518</v>
      </c>
      <c r="I30" s="279">
        <v>57921</v>
      </c>
      <c r="J30" s="279">
        <v>17079</v>
      </c>
      <c r="K30" s="279">
        <f t="shared" si="1"/>
        <v>83330</v>
      </c>
      <c r="L30" s="280">
        <v>0.08</v>
      </c>
      <c r="M30" s="280">
        <v>0.20200000000000001</v>
      </c>
      <c r="N30" s="281">
        <v>0.16600000000000001</v>
      </c>
      <c r="O30" s="282">
        <f t="shared" si="2"/>
        <v>397.12</v>
      </c>
      <c r="P30" s="283">
        <f t="shared" si="3"/>
        <v>1648.8</v>
      </c>
      <c r="Q30" s="275">
        <f t="shared" si="4"/>
        <v>102.48</v>
      </c>
      <c r="R30" s="283">
        <f t="shared" si="5"/>
        <v>710.63600000000008</v>
      </c>
      <c r="S30" s="275">
        <f t="shared" si="6"/>
        <v>813.1160000000001</v>
      </c>
      <c r="T30" s="283">
        <f t="shared" si="0"/>
        <v>11700.042000000001</v>
      </c>
      <c r="U30" s="283">
        <f t="shared" si="7"/>
        <v>12513.158000000001</v>
      </c>
      <c r="V30" s="283">
        <f t="shared" si="8"/>
        <v>14161.958000000001</v>
      </c>
    </row>
    <row r="31" spans="1:22" ht="24.95" customHeight="1">
      <c r="A31" s="284" t="s">
        <v>46</v>
      </c>
      <c r="B31" s="285" t="s">
        <v>13</v>
      </c>
      <c r="C31" s="286" t="s">
        <v>288</v>
      </c>
      <c r="D31" s="279">
        <v>334126</v>
      </c>
      <c r="E31" s="279">
        <v>17307</v>
      </c>
      <c r="F31" s="279">
        <v>72310</v>
      </c>
      <c r="G31" s="279">
        <v>4499</v>
      </c>
      <c r="H31" s="279">
        <v>11488</v>
      </c>
      <c r="I31" s="279">
        <v>193622</v>
      </c>
      <c r="J31" s="279">
        <v>34900</v>
      </c>
      <c r="K31" s="279">
        <f t="shared" si="1"/>
        <v>281919</v>
      </c>
      <c r="L31" s="280">
        <v>8.5999999999999993E-2</v>
      </c>
      <c r="M31" s="280">
        <v>0.22800000000000001</v>
      </c>
      <c r="N31" s="281">
        <v>0.184</v>
      </c>
      <c r="O31" s="282">
        <f t="shared" si="2"/>
        <v>1488.4019999999998</v>
      </c>
      <c r="P31" s="283">
        <f t="shared" si="3"/>
        <v>6218.66</v>
      </c>
      <c r="Q31" s="275">
        <f t="shared" si="4"/>
        <v>386.91399999999999</v>
      </c>
      <c r="R31" s="283">
        <f t="shared" si="5"/>
        <v>2619.2640000000001</v>
      </c>
      <c r="S31" s="275">
        <f t="shared" si="6"/>
        <v>3006.1779999999999</v>
      </c>
      <c r="T31" s="283">
        <f t="shared" si="0"/>
        <v>44145.815999999999</v>
      </c>
      <c r="U31" s="283">
        <f t="shared" si="7"/>
        <v>47151.993999999999</v>
      </c>
      <c r="V31" s="283">
        <f t="shared" si="8"/>
        <v>53370.653999999995</v>
      </c>
    </row>
    <row r="32" spans="1:22" ht="24.95" customHeight="1">
      <c r="A32" s="284" t="s">
        <v>79</v>
      </c>
      <c r="B32" s="285" t="s">
        <v>17</v>
      </c>
      <c r="C32" s="286" t="s">
        <v>289</v>
      </c>
      <c r="D32" s="279">
        <v>23550</v>
      </c>
      <c r="E32" s="279">
        <v>580</v>
      </c>
      <c r="F32" s="279">
        <v>4452</v>
      </c>
      <c r="G32" s="279">
        <v>332</v>
      </c>
      <c r="H32" s="279">
        <v>594</v>
      </c>
      <c r="I32" s="279">
        <v>14112</v>
      </c>
      <c r="J32" s="279">
        <v>3480</v>
      </c>
      <c r="K32" s="279">
        <f t="shared" si="1"/>
        <v>19490</v>
      </c>
      <c r="L32" s="280">
        <v>7.0000000000000007E-2</v>
      </c>
      <c r="M32" s="280">
        <v>0.19800000000000001</v>
      </c>
      <c r="N32" s="281">
        <v>0.16200000000000001</v>
      </c>
      <c r="O32" s="282">
        <f t="shared" si="2"/>
        <v>40.6</v>
      </c>
      <c r="P32" s="283">
        <f t="shared" si="3"/>
        <v>311.64000000000004</v>
      </c>
      <c r="Q32" s="275">
        <f t="shared" si="4"/>
        <v>23.240000000000002</v>
      </c>
      <c r="R32" s="283">
        <f t="shared" si="5"/>
        <v>117.61200000000001</v>
      </c>
      <c r="S32" s="275">
        <f t="shared" si="6"/>
        <v>140.852</v>
      </c>
      <c r="T32" s="283">
        <f t="shared" si="0"/>
        <v>2794.1759999999999</v>
      </c>
      <c r="U32" s="283">
        <f t="shared" si="7"/>
        <v>2935.0279999999998</v>
      </c>
      <c r="V32" s="283">
        <f t="shared" si="8"/>
        <v>3246.6679999999997</v>
      </c>
    </row>
    <row r="33" spans="1:22" ht="24.95" customHeight="1">
      <c r="A33" s="284" t="s">
        <v>80</v>
      </c>
      <c r="B33" s="285" t="s">
        <v>17</v>
      </c>
      <c r="C33" s="286" t="s">
        <v>289</v>
      </c>
      <c r="D33" s="279">
        <v>35330</v>
      </c>
      <c r="E33" s="279">
        <v>1131</v>
      </c>
      <c r="F33" s="279">
        <v>5754</v>
      </c>
      <c r="G33" s="279">
        <v>322</v>
      </c>
      <c r="H33" s="279">
        <v>610</v>
      </c>
      <c r="I33" s="279">
        <v>21296</v>
      </c>
      <c r="J33" s="279">
        <v>6217</v>
      </c>
      <c r="K33" s="279">
        <f t="shared" si="1"/>
        <v>27982</v>
      </c>
      <c r="L33" s="280">
        <v>7.8E-2</v>
      </c>
      <c r="M33" s="280">
        <v>0.182</v>
      </c>
      <c r="N33" s="281">
        <v>0.157</v>
      </c>
      <c r="O33" s="282">
        <f t="shared" si="2"/>
        <v>88.218000000000004</v>
      </c>
      <c r="P33" s="283">
        <f t="shared" si="3"/>
        <v>448.81200000000001</v>
      </c>
      <c r="Q33" s="275">
        <f t="shared" si="4"/>
        <v>25.116</v>
      </c>
      <c r="R33" s="283">
        <f t="shared" si="5"/>
        <v>111.02</v>
      </c>
      <c r="S33" s="275">
        <f t="shared" si="6"/>
        <v>136.136</v>
      </c>
      <c r="T33" s="283">
        <f t="shared" si="0"/>
        <v>3875.8719999999998</v>
      </c>
      <c r="U33" s="283">
        <f t="shared" si="7"/>
        <v>4012.0079999999998</v>
      </c>
      <c r="V33" s="283">
        <f t="shared" si="8"/>
        <v>4460.82</v>
      </c>
    </row>
    <row r="34" spans="1:22" ht="24.95" customHeight="1">
      <c r="A34" s="284" t="s">
        <v>54</v>
      </c>
      <c r="B34" s="285" t="s">
        <v>14</v>
      </c>
      <c r="C34" s="286" t="s">
        <v>288</v>
      </c>
      <c r="D34" s="279">
        <v>164232</v>
      </c>
      <c r="E34" s="279">
        <v>5240</v>
      </c>
      <c r="F34" s="279">
        <v>32230</v>
      </c>
      <c r="G34" s="279">
        <v>1962</v>
      </c>
      <c r="H34" s="279">
        <v>3937</v>
      </c>
      <c r="I34" s="279">
        <v>94775</v>
      </c>
      <c r="J34" s="279">
        <v>26088</v>
      </c>
      <c r="K34" s="279">
        <f t="shared" si="1"/>
        <v>132904</v>
      </c>
      <c r="L34" s="280">
        <v>7.8E-2</v>
      </c>
      <c r="M34" s="280">
        <v>0.20499999999999999</v>
      </c>
      <c r="N34" s="281">
        <v>0.16900000000000001</v>
      </c>
      <c r="O34" s="282">
        <f t="shared" si="2"/>
        <v>408.72</v>
      </c>
      <c r="P34" s="283">
        <f t="shared" si="3"/>
        <v>2513.94</v>
      </c>
      <c r="Q34" s="275">
        <f t="shared" si="4"/>
        <v>153.036</v>
      </c>
      <c r="R34" s="283">
        <f t="shared" si="5"/>
        <v>807.08499999999992</v>
      </c>
      <c r="S34" s="275">
        <f t="shared" si="6"/>
        <v>960.12099999999987</v>
      </c>
      <c r="T34" s="283">
        <f t="shared" si="0"/>
        <v>19428.875</v>
      </c>
      <c r="U34" s="283">
        <f t="shared" si="7"/>
        <v>20388.995999999999</v>
      </c>
      <c r="V34" s="283">
        <f t="shared" si="8"/>
        <v>22902.935999999998</v>
      </c>
    </row>
    <row r="35" spans="1:22" ht="24.95" customHeight="1">
      <c r="A35" s="284" t="s">
        <v>65</v>
      </c>
      <c r="B35" s="285" t="s">
        <v>15</v>
      </c>
      <c r="C35" s="286" t="s">
        <v>289</v>
      </c>
      <c r="D35" s="279">
        <v>41453</v>
      </c>
      <c r="E35" s="279">
        <v>1212</v>
      </c>
      <c r="F35" s="279">
        <v>7889</v>
      </c>
      <c r="G35" s="279">
        <v>598</v>
      </c>
      <c r="H35" s="279">
        <v>923</v>
      </c>
      <c r="I35" s="279">
        <v>23280</v>
      </c>
      <c r="J35" s="279">
        <v>7551</v>
      </c>
      <c r="K35" s="279">
        <f t="shared" si="1"/>
        <v>32690</v>
      </c>
      <c r="L35" s="280">
        <v>7.5999999999999998E-2</v>
      </c>
      <c r="M35" s="280">
        <v>0.19800000000000001</v>
      </c>
      <c r="N35" s="281">
        <v>0.16300000000000001</v>
      </c>
      <c r="O35" s="282">
        <f t="shared" si="2"/>
        <v>92.111999999999995</v>
      </c>
      <c r="P35" s="283">
        <f t="shared" si="3"/>
        <v>599.56399999999996</v>
      </c>
      <c r="Q35" s="275">
        <f t="shared" si="4"/>
        <v>45.448</v>
      </c>
      <c r="R35" s="283">
        <f t="shared" si="5"/>
        <v>182.75400000000002</v>
      </c>
      <c r="S35" s="275">
        <f t="shared" si="6"/>
        <v>228.20200000000003</v>
      </c>
      <c r="T35" s="283">
        <f t="shared" si="0"/>
        <v>4609.4400000000005</v>
      </c>
      <c r="U35" s="283">
        <f t="shared" si="7"/>
        <v>4837.6420000000007</v>
      </c>
      <c r="V35" s="283">
        <f t="shared" si="8"/>
        <v>5437.206000000001</v>
      </c>
    </row>
    <row r="36" spans="1:22" ht="24.95" customHeight="1">
      <c r="A36" s="284" t="s">
        <v>95</v>
      </c>
      <c r="B36" s="285" t="s">
        <v>18</v>
      </c>
      <c r="C36" s="286" t="s">
        <v>289</v>
      </c>
      <c r="D36" s="279">
        <v>60760</v>
      </c>
      <c r="E36" s="279">
        <v>2338</v>
      </c>
      <c r="F36" s="279">
        <v>12680</v>
      </c>
      <c r="G36" s="279">
        <v>775</v>
      </c>
      <c r="H36" s="279">
        <v>1556</v>
      </c>
      <c r="I36" s="279">
        <v>33788</v>
      </c>
      <c r="J36" s="279">
        <v>9623</v>
      </c>
      <c r="K36" s="279">
        <f t="shared" si="1"/>
        <v>48799</v>
      </c>
      <c r="L36" s="280">
        <v>0.1</v>
      </c>
      <c r="M36" s="280">
        <v>0.26700000000000002</v>
      </c>
      <c r="N36" s="281">
        <v>0.216</v>
      </c>
      <c r="O36" s="282">
        <f t="shared" si="2"/>
        <v>233.8</v>
      </c>
      <c r="P36" s="283">
        <f t="shared" si="3"/>
        <v>1268</v>
      </c>
      <c r="Q36" s="275">
        <f t="shared" si="4"/>
        <v>77.5</v>
      </c>
      <c r="R36" s="283">
        <f t="shared" si="5"/>
        <v>415.452</v>
      </c>
      <c r="S36" s="275">
        <f t="shared" si="6"/>
        <v>492.952</v>
      </c>
      <c r="T36" s="283">
        <f t="shared" si="0"/>
        <v>9021.3960000000006</v>
      </c>
      <c r="U36" s="283">
        <f t="shared" si="7"/>
        <v>9514.348</v>
      </c>
      <c r="V36" s="283">
        <f t="shared" si="8"/>
        <v>10782.348</v>
      </c>
    </row>
    <row r="37" spans="1:22" ht="24.95" customHeight="1">
      <c r="A37" s="284" t="s">
        <v>47</v>
      </c>
      <c r="B37" s="285" t="s">
        <v>13</v>
      </c>
      <c r="C37" s="286" t="s">
        <v>288</v>
      </c>
      <c r="D37" s="279">
        <v>289042</v>
      </c>
      <c r="E37" s="279">
        <v>13077</v>
      </c>
      <c r="F37" s="279">
        <v>52749</v>
      </c>
      <c r="G37" s="279">
        <v>4022</v>
      </c>
      <c r="H37" s="279">
        <v>10179</v>
      </c>
      <c r="I37" s="279">
        <v>178192</v>
      </c>
      <c r="J37" s="279">
        <v>30823</v>
      </c>
      <c r="K37" s="279">
        <f t="shared" si="1"/>
        <v>245142</v>
      </c>
      <c r="L37" s="280">
        <v>9.0999999999999998E-2</v>
      </c>
      <c r="M37" s="280">
        <v>0.215</v>
      </c>
      <c r="N37" s="281">
        <v>0.18099999999999999</v>
      </c>
      <c r="O37" s="282">
        <f t="shared" si="2"/>
        <v>1190.0070000000001</v>
      </c>
      <c r="P37" s="283">
        <f t="shared" si="3"/>
        <v>4800.1589999999997</v>
      </c>
      <c r="Q37" s="275">
        <f t="shared" si="4"/>
        <v>366.00200000000001</v>
      </c>
      <c r="R37" s="283">
        <f t="shared" si="5"/>
        <v>2188.4850000000001</v>
      </c>
      <c r="S37" s="275">
        <f t="shared" si="6"/>
        <v>2554.4870000000001</v>
      </c>
      <c r="T37" s="283">
        <f t="shared" si="0"/>
        <v>38311.279999999999</v>
      </c>
      <c r="U37" s="283">
        <f t="shared" si="7"/>
        <v>40865.767</v>
      </c>
      <c r="V37" s="283">
        <f t="shared" si="8"/>
        <v>45665.925999999999</v>
      </c>
    </row>
    <row r="38" spans="1:22" ht="24.95" customHeight="1">
      <c r="A38" s="284" t="s">
        <v>96</v>
      </c>
      <c r="B38" s="285" t="s">
        <v>18</v>
      </c>
      <c r="C38" s="286" t="s">
        <v>289</v>
      </c>
      <c r="D38" s="279">
        <v>55840</v>
      </c>
      <c r="E38" s="279">
        <v>2029</v>
      </c>
      <c r="F38" s="279">
        <v>11150</v>
      </c>
      <c r="G38" s="279">
        <v>819</v>
      </c>
      <c r="H38" s="279">
        <v>1589</v>
      </c>
      <c r="I38" s="279">
        <v>31312</v>
      </c>
      <c r="J38" s="279">
        <v>8941</v>
      </c>
      <c r="K38" s="279">
        <f t="shared" si="1"/>
        <v>44870</v>
      </c>
      <c r="L38" s="280">
        <v>8.7999999999999995E-2</v>
      </c>
      <c r="M38" s="280">
        <v>0.222</v>
      </c>
      <c r="N38" s="281">
        <v>0.182</v>
      </c>
      <c r="O38" s="282">
        <f t="shared" si="2"/>
        <v>178.55199999999999</v>
      </c>
      <c r="P38" s="283">
        <f t="shared" si="3"/>
        <v>981.19999999999993</v>
      </c>
      <c r="Q38" s="275">
        <f t="shared" si="4"/>
        <v>72.072000000000003</v>
      </c>
      <c r="R38" s="283">
        <f t="shared" si="5"/>
        <v>352.75799999999998</v>
      </c>
      <c r="S38" s="275">
        <f t="shared" si="6"/>
        <v>424.83</v>
      </c>
      <c r="T38" s="283">
        <f t="shared" ref="T38:T69" si="9">M38*I38</f>
        <v>6951.2640000000001</v>
      </c>
      <c r="U38" s="283">
        <f t="shared" si="7"/>
        <v>7376.0940000000001</v>
      </c>
      <c r="V38" s="283">
        <f t="shared" si="8"/>
        <v>8357.2939999999999</v>
      </c>
    </row>
    <row r="39" spans="1:22" ht="24.95" customHeight="1">
      <c r="A39" s="284" t="s">
        <v>66</v>
      </c>
      <c r="B39" s="285" t="s">
        <v>15</v>
      </c>
      <c r="C39" s="286" t="s">
        <v>288</v>
      </c>
      <c r="D39" s="279">
        <v>361710</v>
      </c>
      <c r="E39" s="279">
        <v>14048</v>
      </c>
      <c r="F39" s="279">
        <v>72642</v>
      </c>
      <c r="G39" s="279">
        <v>4680</v>
      </c>
      <c r="H39" s="279">
        <v>9926</v>
      </c>
      <c r="I39" s="279">
        <v>209721</v>
      </c>
      <c r="J39" s="279">
        <v>50693</v>
      </c>
      <c r="K39" s="279">
        <f t="shared" si="1"/>
        <v>296969</v>
      </c>
      <c r="L39" s="280">
        <v>8.8999999999999996E-2</v>
      </c>
      <c r="M39" s="280">
        <v>0.20300000000000001</v>
      </c>
      <c r="N39" s="281">
        <v>0.16900000000000001</v>
      </c>
      <c r="O39" s="282">
        <f t="shared" si="2"/>
        <v>1250.2719999999999</v>
      </c>
      <c r="P39" s="283">
        <f t="shared" si="3"/>
        <v>6465.1379999999999</v>
      </c>
      <c r="Q39" s="275">
        <f t="shared" ref="Q39:Q70" si="10">L39*G39</f>
        <v>416.52</v>
      </c>
      <c r="R39" s="283">
        <f t="shared" si="5"/>
        <v>2014.9780000000001</v>
      </c>
      <c r="S39" s="275">
        <f t="shared" si="6"/>
        <v>2431.498</v>
      </c>
      <c r="T39" s="283">
        <f t="shared" si="9"/>
        <v>42573.363000000005</v>
      </c>
      <c r="U39" s="283">
        <f t="shared" si="7"/>
        <v>45004.861000000004</v>
      </c>
      <c r="V39" s="283">
        <f t="shared" si="8"/>
        <v>51469.999000000003</v>
      </c>
    </row>
    <row r="40" spans="1:22" ht="24.95" customHeight="1">
      <c r="A40" s="284" t="s">
        <v>55</v>
      </c>
      <c r="B40" s="285" t="s">
        <v>14</v>
      </c>
      <c r="C40" s="286" t="s">
        <v>289</v>
      </c>
      <c r="D40" s="279">
        <v>62346</v>
      </c>
      <c r="E40" s="279">
        <v>2052</v>
      </c>
      <c r="F40" s="279">
        <v>12569</v>
      </c>
      <c r="G40" s="279">
        <v>833</v>
      </c>
      <c r="H40" s="279">
        <v>1544</v>
      </c>
      <c r="I40" s="279">
        <v>36415</v>
      </c>
      <c r="J40" s="279">
        <v>8933</v>
      </c>
      <c r="K40" s="279">
        <f t="shared" si="1"/>
        <v>51361</v>
      </c>
      <c r="L40" s="280">
        <v>8.4000000000000005E-2</v>
      </c>
      <c r="M40" s="280">
        <v>0.23</v>
      </c>
      <c r="N40" s="281">
        <v>0.187</v>
      </c>
      <c r="O40" s="282">
        <f t="shared" si="2"/>
        <v>172.36800000000002</v>
      </c>
      <c r="P40" s="283">
        <f t="shared" si="3"/>
        <v>1055.796</v>
      </c>
      <c r="Q40" s="275">
        <f t="shared" si="10"/>
        <v>69.972000000000008</v>
      </c>
      <c r="R40" s="283">
        <f t="shared" si="5"/>
        <v>355.12</v>
      </c>
      <c r="S40" s="275">
        <f t="shared" si="6"/>
        <v>425.09199999999998</v>
      </c>
      <c r="T40" s="283">
        <f t="shared" si="9"/>
        <v>8375.4500000000007</v>
      </c>
      <c r="U40" s="283">
        <f t="shared" si="7"/>
        <v>8800.5420000000013</v>
      </c>
      <c r="V40" s="283">
        <f t="shared" si="8"/>
        <v>9856.3380000000016</v>
      </c>
    </row>
    <row r="41" spans="1:22" ht="24.95" customHeight="1">
      <c r="A41" s="284" t="s">
        <v>109</v>
      </c>
      <c r="B41" s="285" t="s">
        <v>20</v>
      </c>
      <c r="C41" s="286" t="s">
        <v>288</v>
      </c>
      <c r="D41" s="279">
        <v>209652</v>
      </c>
      <c r="E41" s="279">
        <v>7657</v>
      </c>
      <c r="F41" s="279">
        <v>41169</v>
      </c>
      <c r="G41" s="279">
        <v>2810</v>
      </c>
      <c r="H41" s="279">
        <v>5589</v>
      </c>
      <c r="I41" s="279">
        <v>122146</v>
      </c>
      <c r="J41" s="279">
        <v>30281</v>
      </c>
      <c r="K41" s="279">
        <f t="shared" si="1"/>
        <v>171714</v>
      </c>
      <c r="L41" s="280">
        <v>0.08</v>
      </c>
      <c r="M41" s="280">
        <v>0.20300000000000001</v>
      </c>
      <c r="N41" s="281">
        <v>0.16800000000000001</v>
      </c>
      <c r="O41" s="282">
        <f t="shared" si="2"/>
        <v>612.56000000000006</v>
      </c>
      <c r="P41" s="283">
        <f t="shared" si="3"/>
        <v>3293.52</v>
      </c>
      <c r="Q41" s="275">
        <f t="shared" si="10"/>
        <v>224.8</v>
      </c>
      <c r="R41" s="283">
        <f t="shared" si="5"/>
        <v>1134.567</v>
      </c>
      <c r="S41" s="275">
        <f t="shared" si="6"/>
        <v>1359.367</v>
      </c>
      <c r="T41" s="283">
        <f t="shared" si="9"/>
        <v>24795.638000000003</v>
      </c>
      <c r="U41" s="283">
        <f t="shared" si="7"/>
        <v>26155.005000000001</v>
      </c>
      <c r="V41" s="283">
        <f t="shared" si="8"/>
        <v>29448.525000000001</v>
      </c>
    </row>
    <row r="42" spans="1:22" ht="24.95" customHeight="1">
      <c r="A42" s="284" t="s">
        <v>81</v>
      </c>
      <c r="B42" s="285" t="s">
        <v>17</v>
      </c>
      <c r="C42" s="286" t="s">
        <v>289</v>
      </c>
      <c r="D42" s="279">
        <v>11569</v>
      </c>
      <c r="E42" s="279">
        <v>252</v>
      </c>
      <c r="F42" s="279">
        <v>2111</v>
      </c>
      <c r="G42" s="279">
        <v>162</v>
      </c>
      <c r="H42" s="279">
        <v>391</v>
      </c>
      <c r="I42" s="279">
        <v>6663</v>
      </c>
      <c r="J42" s="279">
        <v>1990</v>
      </c>
      <c r="K42" s="279">
        <f t="shared" si="1"/>
        <v>9327</v>
      </c>
      <c r="L42" s="280">
        <v>7.6999999999999999E-2</v>
      </c>
      <c r="M42" s="280">
        <v>0.22800000000000001</v>
      </c>
      <c r="N42" s="281">
        <v>0.185</v>
      </c>
      <c r="O42" s="282">
        <f t="shared" si="2"/>
        <v>19.404</v>
      </c>
      <c r="P42" s="283">
        <f t="shared" si="3"/>
        <v>162.547</v>
      </c>
      <c r="Q42" s="275">
        <f t="shared" si="10"/>
        <v>12.474</v>
      </c>
      <c r="R42" s="283">
        <f t="shared" si="5"/>
        <v>89.147999999999996</v>
      </c>
      <c r="S42" s="275">
        <f t="shared" si="6"/>
        <v>101.622</v>
      </c>
      <c r="T42" s="283">
        <f t="shared" si="9"/>
        <v>1519.164</v>
      </c>
      <c r="U42" s="283">
        <f t="shared" si="7"/>
        <v>1620.7860000000001</v>
      </c>
      <c r="V42" s="283">
        <f t="shared" si="8"/>
        <v>1783.3330000000001</v>
      </c>
    </row>
    <row r="43" spans="1:22" ht="24.95" customHeight="1">
      <c r="A43" s="284" t="s">
        <v>131</v>
      </c>
      <c r="B43" s="285" t="s">
        <v>295</v>
      </c>
      <c r="C43" s="286" t="s">
        <v>289</v>
      </c>
      <c r="D43" s="279">
        <v>8994</v>
      </c>
      <c r="E43" s="279">
        <v>282</v>
      </c>
      <c r="F43" s="279">
        <v>1616</v>
      </c>
      <c r="G43" s="279">
        <v>110</v>
      </c>
      <c r="H43" s="279">
        <v>209</v>
      </c>
      <c r="I43" s="279">
        <v>4825</v>
      </c>
      <c r="J43" s="279">
        <v>1952</v>
      </c>
      <c r="K43" s="279">
        <f t="shared" si="1"/>
        <v>6760</v>
      </c>
      <c r="L43" s="280">
        <v>7.9000000000000001E-2</v>
      </c>
      <c r="M43" s="280">
        <v>0.20399999999999999</v>
      </c>
      <c r="N43" s="281">
        <v>0.16900000000000001</v>
      </c>
      <c r="O43" s="282">
        <f t="shared" si="2"/>
        <v>22.277999999999999</v>
      </c>
      <c r="P43" s="283">
        <f t="shared" si="3"/>
        <v>127.664</v>
      </c>
      <c r="Q43" s="275">
        <f t="shared" si="10"/>
        <v>8.69</v>
      </c>
      <c r="R43" s="283">
        <f t="shared" si="5"/>
        <v>42.635999999999996</v>
      </c>
      <c r="S43" s="275">
        <f t="shared" si="6"/>
        <v>51.325999999999993</v>
      </c>
      <c r="T43" s="283">
        <f t="shared" si="9"/>
        <v>984.3</v>
      </c>
      <c r="U43" s="283">
        <f t="shared" si="7"/>
        <v>1035.626</v>
      </c>
      <c r="V43" s="283">
        <f t="shared" si="8"/>
        <v>1163.29</v>
      </c>
    </row>
    <row r="44" spans="1:22" ht="24.95" customHeight="1">
      <c r="A44" s="284" t="s">
        <v>56</v>
      </c>
      <c r="B44" s="285" t="s">
        <v>14</v>
      </c>
      <c r="C44" s="286" t="s">
        <v>289</v>
      </c>
      <c r="D44" s="279">
        <v>56845</v>
      </c>
      <c r="E44" s="279">
        <v>1708</v>
      </c>
      <c r="F44" s="279">
        <v>10303</v>
      </c>
      <c r="G44" s="279">
        <v>699</v>
      </c>
      <c r="H44" s="279">
        <v>1973</v>
      </c>
      <c r="I44" s="279">
        <v>34094</v>
      </c>
      <c r="J44" s="279">
        <v>8068</v>
      </c>
      <c r="K44" s="279">
        <f t="shared" si="1"/>
        <v>47069</v>
      </c>
      <c r="L44" s="280">
        <v>8.4000000000000005E-2</v>
      </c>
      <c r="M44" s="280">
        <v>0.20499999999999999</v>
      </c>
      <c r="N44" s="281">
        <v>0.17299999999999999</v>
      </c>
      <c r="O44" s="282">
        <f t="shared" si="2"/>
        <v>143.47200000000001</v>
      </c>
      <c r="P44" s="283">
        <f t="shared" si="3"/>
        <v>865.452</v>
      </c>
      <c r="Q44" s="275">
        <f t="shared" si="10"/>
        <v>58.716000000000001</v>
      </c>
      <c r="R44" s="283">
        <f t="shared" si="5"/>
        <v>404.46499999999997</v>
      </c>
      <c r="S44" s="275">
        <f t="shared" si="6"/>
        <v>463.18099999999998</v>
      </c>
      <c r="T44" s="283">
        <f t="shared" si="9"/>
        <v>6989.2699999999995</v>
      </c>
      <c r="U44" s="283">
        <f t="shared" si="7"/>
        <v>7452.4509999999991</v>
      </c>
      <c r="V44" s="283">
        <f t="shared" si="8"/>
        <v>8317.9029999999984</v>
      </c>
    </row>
    <row r="45" spans="1:22" ht="24.95" customHeight="1">
      <c r="A45" s="284" t="s">
        <v>97</v>
      </c>
      <c r="B45" s="285" t="s">
        <v>18</v>
      </c>
      <c r="C45" s="286" t="s">
        <v>289</v>
      </c>
      <c r="D45" s="279">
        <v>21296</v>
      </c>
      <c r="E45" s="279">
        <v>679</v>
      </c>
      <c r="F45" s="279">
        <v>4133</v>
      </c>
      <c r="G45" s="279">
        <v>235</v>
      </c>
      <c r="H45" s="279">
        <v>490</v>
      </c>
      <c r="I45" s="279">
        <v>12812</v>
      </c>
      <c r="J45" s="279">
        <v>2947</v>
      </c>
      <c r="K45" s="279">
        <f t="shared" si="1"/>
        <v>17670</v>
      </c>
      <c r="L45" s="280">
        <v>9.7000000000000003E-2</v>
      </c>
      <c r="M45" s="280">
        <v>0.27</v>
      </c>
      <c r="N45" s="281">
        <v>0.223</v>
      </c>
      <c r="O45" s="282">
        <f t="shared" si="2"/>
        <v>65.863</v>
      </c>
      <c r="P45" s="283">
        <f t="shared" si="3"/>
        <v>400.90100000000001</v>
      </c>
      <c r="Q45" s="275">
        <f t="shared" si="10"/>
        <v>22.795000000000002</v>
      </c>
      <c r="R45" s="283">
        <f t="shared" si="5"/>
        <v>132.30000000000001</v>
      </c>
      <c r="S45" s="275">
        <f t="shared" si="6"/>
        <v>155.09500000000003</v>
      </c>
      <c r="T45" s="283">
        <f t="shared" si="9"/>
        <v>3459.2400000000002</v>
      </c>
      <c r="U45" s="283">
        <f t="shared" si="7"/>
        <v>3614.335</v>
      </c>
      <c r="V45" s="283">
        <f t="shared" si="8"/>
        <v>4015.2359999999999</v>
      </c>
    </row>
    <row r="46" spans="1:22" ht="24.95" customHeight="1">
      <c r="A46" s="284" t="s">
        <v>115</v>
      </c>
      <c r="B46" s="285" t="s">
        <v>21</v>
      </c>
      <c r="C46" s="286" t="s">
        <v>288</v>
      </c>
      <c r="D46" s="279">
        <v>509388</v>
      </c>
      <c r="E46" s="279">
        <v>18417</v>
      </c>
      <c r="F46" s="279">
        <v>97026</v>
      </c>
      <c r="G46" s="279">
        <v>8287</v>
      </c>
      <c r="H46" s="279">
        <v>18972</v>
      </c>
      <c r="I46" s="279">
        <v>298563</v>
      </c>
      <c r="J46" s="279">
        <v>68123</v>
      </c>
      <c r="K46" s="279">
        <f t="shared" si="1"/>
        <v>422848</v>
      </c>
      <c r="L46" s="280">
        <v>8.5000000000000006E-2</v>
      </c>
      <c r="M46" s="280">
        <v>0.20300000000000001</v>
      </c>
      <c r="N46" s="281">
        <v>0.16900000000000001</v>
      </c>
      <c r="O46" s="282">
        <f t="shared" si="2"/>
        <v>1565.4450000000002</v>
      </c>
      <c r="P46" s="283">
        <f t="shared" si="3"/>
        <v>8247.2100000000009</v>
      </c>
      <c r="Q46" s="275">
        <f t="shared" si="10"/>
        <v>704.3950000000001</v>
      </c>
      <c r="R46" s="283">
        <f t="shared" si="5"/>
        <v>3851.3160000000003</v>
      </c>
      <c r="S46" s="275">
        <f t="shared" si="6"/>
        <v>4555.7110000000002</v>
      </c>
      <c r="T46" s="283">
        <f t="shared" si="9"/>
        <v>60608.289000000004</v>
      </c>
      <c r="U46" s="283">
        <f t="shared" si="7"/>
        <v>65164.000000000007</v>
      </c>
      <c r="V46" s="283">
        <f t="shared" si="8"/>
        <v>73411.210000000006</v>
      </c>
    </row>
    <row r="47" spans="1:22" ht="24.95" customHeight="1">
      <c r="A47" s="284" t="s">
        <v>57</v>
      </c>
      <c r="B47" s="285" t="s">
        <v>14</v>
      </c>
      <c r="C47" s="286" t="s">
        <v>289</v>
      </c>
      <c r="D47" s="279">
        <v>54064</v>
      </c>
      <c r="E47" s="279">
        <v>1789</v>
      </c>
      <c r="F47" s="279">
        <v>10106</v>
      </c>
      <c r="G47" s="279">
        <v>667</v>
      </c>
      <c r="H47" s="279">
        <v>1489</v>
      </c>
      <c r="I47" s="279">
        <v>30561</v>
      </c>
      <c r="J47" s="279">
        <v>9452</v>
      </c>
      <c r="K47" s="279">
        <f t="shared" si="1"/>
        <v>42823</v>
      </c>
      <c r="L47" s="280">
        <v>8.5999999999999993E-2</v>
      </c>
      <c r="M47" s="280">
        <v>0.23</v>
      </c>
      <c r="N47" s="281">
        <v>0.189</v>
      </c>
      <c r="O47" s="282">
        <f t="shared" si="2"/>
        <v>153.85399999999998</v>
      </c>
      <c r="P47" s="283">
        <f t="shared" si="3"/>
        <v>869.11599999999999</v>
      </c>
      <c r="Q47" s="275">
        <f t="shared" si="10"/>
        <v>57.361999999999995</v>
      </c>
      <c r="R47" s="283">
        <f t="shared" si="5"/>
        <v>342.47</v>
      </c>
      <c r="S47" s="275">
        <f t="shared" si="6"/>
        <v>399.83199999999999</v>
      </c>
      <c r="T47" s="283">
        <f t="shared" si="9"/>
        <v>7029.0300000000007</v>
      </c>
      <c r="U47" s="283">
        <f t="shared" si="7"/>
        <v>7428.862000000001</v>
      </c>
      <c r="V47" s="283">
        <f t="shared" si="8"/>
        <v>8297.978000000001</v>
      </c>
    </row>
    <row r="48" spans="1:22" ht="24.95" customHeight="1">
      <c r="A48" s="284" t="s">
        <v>116</v>
      </c>
      <c r="B48" s="285" t="s">
        <v>21</v>
      </c>
      <c r="C48" s="286" t="s">
        <v>289</v>
      </c>
      <c r="D48" s="279">
        <v>124118</v>
      </c>
      <c r="E48" s="279">
        <v>5401</v>
      </c>
      <c r="F48" s="279">
        <v>28679</v>
      </c>
      <c r="G48" s="279">
        <v>1810</v>
      </c>
      <c r="H48" s="279">
        <v>3674</v>
      </c>
      <c r="I48" s="279">
        <v>70401</v>
      </c>
      <c r="J48" s="279">
        <v>14153</v>
      </c>
      <c r="K48" s="279">
        <f t="shared" si="1"/>
        <v>104564</v>
      </c>
      <c r="L48" s="280">
        <v>8.5000000000000006E-2</v>
      </c>
      <c r="M48" s="280">
        <v>0.24299999999999999</v>
      </c>
      <c r="N48" s="281">
        <v>0.191</v>
      </c>
      <c r="O48" s="282">
        <f t="shared" si="2"/>
        <v>459.08500000000004</v>
      </c>
      <c r="P48" s="283">
        <f t="shared" si="3"/>
        <v>2437.7150000000001</v>
      </c>
      <c r="Q48" s="275">
        <f t="shared" si="10"/>
        <v>153.85000000000002</v>
      </c>
      <c r="R48" s="283">
        <f t="shared" si="5"/>
        <v>892.78199999999993</v>
      </c>
      <c r="S48" s="275">
        <f t="shared" si="6"/>
        <v>1046.6320000000001</v>
      </c>
      <c r="T48" s="283">
        <f t="shared" si="9"/>
        <v>17107.442999999999</v>
      </c>
      <c r="U48" s="283">
        <f t="shared" si="7"/>
        <v>18154.075000000001</v>
      </c>
      <c r="V48" s="283">
        <f t="shared" si="8"/>
        <v>20591.79</v>
      </c>
    </row>
    <row r="49" spans="1:22" ht="24.95" customHeight="1">
      <c r="A49" s="284" t="s">
        <v>132</v>
      </c>
      <c r="B49" s="285" t="s">
        <v>295</v>
      </c>
      <c r="C49" s="286" t="s">
        <v>289</v>
      </c>
      <c r="D49" s="279">
        <v>59765</v>
      </c>
      <c r="E49" s="279">
        <v>1683</v>
      </c>
      <c r="F49" s="279">
        <v>9527</v>
      </c>
      <c r="G49" s="279">
        <v>699</v>
      </c>
      <c r="H49" s="279">
        <v>1285</v>
      </c>
      <c r="I49" s="279">
        <v>32796</v>
      </c>
      <c r="J49" s="279">
        <v>13775</v>
      </c>
      <c r="K49" s="279">
        <f t="shared" si="1"/>
        <v>44307</v>
      </c>
      <c r="L49" s="280">
        <v>7.3999999999999996E-2</v>
      </c>
      <c r="M49" s="280">
        <v>0.18</v>
      </c>
      <c r="N49" s="281">
        <v>0.153</v>
      </c>
      <c r="O49" s="282">
        <f t="shared" si="2"/>
        <v>124.54199999999999</v>
      </c>
      <c r="P49" s="283">
        <f t="shared" si="3"/>
        <v>704.99799999999993</v>
      </c>
      <c r="Q49" s="275">
        <f t="shared" si="10"/>
        <v>51.725999999999999</v>
      </c>
      <c r="R49" s="283">
        <f t="shared" si="5"/>
        <v>231.29999999999998</v>
      </c>
      <c r="S49" s="275">
        <f t="shared" si="6"/>
        <v>283.02599999999995</v>
      </c>
      <c r="T49" s="283">
        <f t="shared" si="9"/>
        <v>5903.28</v>
      </c>
      <c r="U49" s="283">
        <f t="shared" si="7"/>
        <v>6186.3059999999996</v>
      </c>
      <c r="V49" s="283">
        <f t="shared" si="8"/>
        <v>6891.3039999999992</v>
      </c>
    </row>
    <row r="50" spans="1:22" ht="24.95" customHeight="1">
      <c r="A50" s="284" t="s">
        <v>133</v>
      </c>
      <c r="B50" s="285" t="s">
        <v>295</v>
      </c>
      <c r="C50" s="286" t="s">
        <v>289</v>
      </c>
      <c r="D50" s="279">
        <v>108630</v>
      </c>
      <c r="E50" s="279">
        <v>3269</v>
      </c>
      <c r="F50" s="279">
        <v>18681</v>
      </c>
      <c r="G50" s="279">
        <v>1101</v>
      </c>
      <c r="H50" s="279">
        <v>1965</v>
      </c>
      <c r="I50" s="279">
        <v>57436</v>
      </c>
      <c r="J50" s="279">
        <v>26178</v>
      </c>
      <c r="K50" s="279">
        <f t="shared" si="1"/>
        <v>79183</v>
      </c>
      <c r="L50" s="280">
        <v>8.2000000000000003E-2</v>
      </c>
      <c r="M50" s="280">
        <v>0.2</v>
      </c>
      <c r="N50" s="281">
        <v>0.16800000000000001</v>
      </c>
      <c r="O50" s="282">
        <f t="shared" si="2"/>
        <v>268.05799999999999</v>
      </c>
      <c r="P50" s="283">
        <f t="shared" si="3"/>
        <v>1531.8420000000001</v>
      </c>
      <c r="Q50" s="275">
        <f t="shared" si="10"/>
        <v>90.282000000000011</v>
      </c>
      <c r="R50" s="283">
        <f t="shared" si="5"/>
        <v>393</v>
      </c>
      <c r="S50" s="275">
        <f t="shared" si="6"/>
        <v>483.28200000000004</v>
      </c>
      <c r="T50" s="283">
        <f t="shared" si="9"/>
        <v>11487.2</v>
      </c>
      <c r="U50" s="283">
        <f t="shared" si="7"/>
        <v>11970.482</v>
      </c>
      <c r="V50" s="283">
        <f t="shared" si="8"/>
        <v>13502.324000000001</v>
      </c>
    </row>
    <row r="51" spans="1:22" ht="24.95" customHeight="1">
      <c r="A51" s="284" t="s">
        <v>82</v>
      </c>
      <c r="B51" s="285" t="s">
        <v>17</v>
      </c>
      <c r="C51" s="286" t="s">
        <v>289</v>
      </c>
      <c r="D51" s="279">
        <v>24588</v>
      </c>
      <c r="E51" s="279">
        <v>710</v>
      </c>
      <c r="F51" s="279">
        <v>4241</v>
      </c>
      <c r="G51" s="279">
        <v>529</v>
      </c>
      <c r="H51" s="279">
        <v>844</v>
      </c>
      <c r="I51" s="279">
        <v>14119</v>
      </c>
      <c r="J51" s="279">
        <v>4145</v>
      </c>
      <c r="K51" s="279">
        <f t="shared" si="1"/>
        <v>19733</v>
      </c>
      <c r="L51" s="280">
        <v>8.8999999999999996E-2</v>
      </c>
      <c r="M51" s="280">
        <v>0.22700000000000001</v>
      </c>
      <c r="N51" s="281">
        <v>0.188</v>
      </c>
      <c r="O51" s="282">
        <f t="shared" si="2"/>
        <v>63.19</v>
      </c>
      <c r="P51" s="283">
        <f t="shared" si="3"/>
        <v>377.44899999999996</v>
      </c>
      <c r="Q51" s="275">
        <f t="shared" si="10"/>
        <v>47.080999999999996</v>
      </c>
      <c r="R51" s="283">
        <f t="shared" si="5"/>
        <v>191.58799999999999</v>
      </c>
      <c r="S51" s="275">
        <f t="shared" si="6"/>
        <v>238.66899999999998</v>
      </c>
      <c r="T51" s="283">
        <f t="shared" si="9"/>
        <v>3205.0129999999999</v>
      </c>
      <c r="U51" s="283">
        <f t="shared" si="7"/>
        <v>3443.6819999999998</v>
      </c>
      <c r="V51" s="283">
        <f t="shared" si="8"/>
        <v>3821.1309999999999</v>
      </c>
    </row>
    <row r="52" spans="1:22" ht="24.95" customHeight="1">
      <c r="A52" s="284" t="s">
        <v>117</v>
      </c>
      <c r="B52" s="285" t="s">
        <v>21</v>
      </c>
      <c r="C52" s="286" t="s">
        <v>289</v>
      </c>
      <c r="D52" s="279">
        <v>50951</v>
      </c>
      <c r="E52" s="279">
        <v>2928</v>
      </c>
      <c r="F52" s="279">
        <v>12722</v>
      </c>
      <c r="G52" s="279">
        <v>651</v>
      </c>
      <c r="H52" s="279">
        <v>1287</v>
      </c>
      <c r="I52" s="279">
        <v>29212</v>
      </c>
      <c r="J52" s="279">
        <v>4151</v>
      </c>
      <c r="K52" s="279">
        <f t="shared" si="1"/>
        <v>43872</v>
      </c>
      <c r="L52" s="280">
        <v>8.7999999999999995E-2</v>
      </c>
      <c r="M52" s="280">
        <v>0.27100000000000002</v>
      </c>
      <c r="N52" s="281">
        <v>0.21</v>
      </c>
      <c r="O52" s="282">
        <f t="shared" si="2"/>
        <v>257.66399999999999</v>
      </c>
      <c r="P52" s="283">
        <f t="shared" si="3"/>
        <v>1119.5359999999998</v>
      </c>
      <c r="Q52" s="275">
        <f t="shared" si="10"/>
        <v>57.287999999999997</v>
      </c>
      <c r="R52" s="283">
        <f t="shared" si="5"/>
        <v>348.77700000000004</v>
      </c>
      <c r="S52" s="275">
        <f t="shared" si="6"/>
        <v>406.06500000000005</v>
      </c>
      <c r="T52" s="283">
        <f t="shared" si="9"/>
        <v>7916.4520000000002</v>
      </c>
      <c r="U52" s="283">
        <f t="shared" si="7"/>
        <v>8322.5169999999998</v>
      </c>
      <c r="V52" s="283">
        <f t="shared" si="8"/>
        <v>9442.0529999999999</v>
      </c>
    </row>
    <row r="53" spans="1:22" ht="24.95" customHeight="1">
      <c r="A53" s="284" t="s">
        <v>83</v>
      </c>
      <c r="B53" s="285" t="s">
        <v>17</v>
      </c>
      <c r="C53" s="286" t="s">
        <v>289</v>
      </c>
      <c r="D53" s="279">
        <v>5769</v>
      </c>
      <c r="E53" s="279">
        <v>154</v>
      </c>
      <c r="F53" s="279">
        <v>858</v>
      </c>
      <c r="G53" s="279">
        <v>43</v>
      </c>
      <c r="H53" s="279">
        <v>133</v>
      </c>
      <c r="I53" s="279">
        <v>3622</v>
      </c>
      <c r="J53" s="279">
        <v>959</v>
      </c>
      <c r="K53" s="279">
        <f t="shared" si="1"/>
        <v>4656</v>
      </c>
      <c r="L53" s="280">
        <v>8.5000000000000006E-2</v>
      </c>
      <c r="M53" s="280">
        <v>0.246</v>
      </c>
      <c r="N53" s="281">
        <v>0.20899999999999999</v>
      </c>
      <c r="O53" s="282">
        <f t="shared" si="2"/>
        <v>13.090000000000002</v>
      </c>
      <c r="P53" s="283">
        <f t="shared" si="3"/>
        <v>72.930000000000007</v>
      </c>
      <c r="Q53" s="275">
        <f t="shared" si="10"/>
        <v>3.6550000000000002</v>
      </c>
      <c r="R53" s="283">
        <f t="shared" si="5"/>
        <v>32.717999999999996</v>
      </c>
      <c r="S53" s="275">
        <f t="shared" si="6"/>
        <v>36.372999999999998</v>
      </c>
      <c r="T53" s="283">
        <f t="shared" si="9"/>
        <v>891.01199999999994</v>
      </c>
      <c r="U53" s="283">
        <f t="shared" si="7"/>
        <v>927.38499999999999</v>
      </c>
      <c r="V53" s="283">
        <f t="shared" si="8"/>
        <v>1000.3150000000001</v>
      </c>
    </row>
    <row r="54" spans="1:22" ht="24.95" customHeight="1">
      <c r="A54" s="284" t="s">
        <v>110</v>
      </c>
      <c r="B54" s="285" t="s">
        <v>20</v>
      </c>
      <c r="C54" s="286" t="s">
        <v>289</v>
      </c>
      <c r="D54" s="279">
        <v>164883</v>
      </c>
      <c r="E54" s="279">
        <v>5419</v>
      </c>
      <c r="F54" s="279">
        <v>34134</v>
      </c>
      <c r="G54" s="279">
        <v>2362</v>
      </c>
      <c r="H54" s="279">
        <v>4394</v>
      </c>
      <c r="I54" s="279">
        <v>95366</v>
      </c>
      <c r="J54" s="279">
        <v>23208</v>
      </c>
      <c r="K54" s="279">
        <f t="shared" si="1"/>
        <v>136256</v>
      </c>
      <c r="L54" s="280">
        <v>7.6999999999999999E-2</v>
      </c>
      <c r="M54" s="280">
        <v>0.191</v>
      </c>
      <c r="N54" s="281">
        <v>0.157</v>
      </c>
      <c r="O54" s="282">
        <f t="shared" si="2"/>
        <v>417.26299999999998</v>
      </c>
      <c r="P54" s="283">
        <f t="shared" si="3"/>
        <v>2628.3179999999998</v>
      </c>
      <c r="Q54" s="275">
        <f t="shared" si="10"/>
        <v>181.874</v>
      </c>
      <c r="R54" s="283">
        <f t="shared" si="5"/>
        <v>839.25400000000002</v>
      </c>
      <c r="S54" s="275">
        <f t="shared" si="6"/>
        <v>1021.128</v>
      </c>
      <c r="T54" s="283">
        <f t="shared" si="9"/>
        <v>18214.905999999999</v>
      </c>
      <c r="U54" s="283">
        <f t="shared" si="7"/>
        <v>19236.034</v>
      </c>
      <c r="V54" s="283">
        <f t="shared" si="8"/>
        <v>21864.351999999999</v>
      </c>
    </row>
    <row r="55" spans="1:22" ht="24.95" customHeight="1">
      <c r="A55" s="284" t="s">
        <v>134</v>
      </c>
      <c r="B55" s="285" t="s">
        <v>295</v>
      </c>
      <c r="C55" s="286" t="s">
        <v>289</v>
      </c>
      <c r="D55" s="279">
        <v>41111</v>
      </c>
      <c r="E55" s="279">
        <v>1186</v>
      </c>
      <c r="F55" s="279">
        <v>6053</v>
      </c>
      <c r="G55" s="279">
        <v>1005</v>
      </c>
      <c r="H55" s="279">
        <v>2890</v>
      </c>
      <c r="I55" s="279">
        <v>22924</v>
      </c>
      <c r="J55" s="279">
        <v>7053</v>
      </c>
      <c r="K55" s="279">
        <f t="shared" si="1"/>
        <v>32872</v>
      </c>
      <c r="L55" s="280">
        <v>8.3000000000000004E-2</v>
      </c>
      <c r="M55" s="280">
        <v>0.20599999999999999</v>
      </c>
      <c r="N55" s="281">
        <v>0.17399999999999999</v>
      </c>
      <c r="O55" s="282">
        <f t="shared" si="2"/>
        <v>98.438000000000002</v>
      </c>
      <c r="P55" s="283">
        <f t="shared" si="3"/>
        <v>502.399</v>
      </c>
      <c r="Q55" s="275">
        <f t="shared" si="10"/>
        <v>83.415000000000006</v>
      </c>
      <c r="R55" s="283">
        <f t="shared" si="5"/>
        <v>595.33999999999992</v>
      </c>
      <c r="S55" s="275">
        <f t="shared" si="6"/>
        <v>678.75499999999988</v>
      </c>
      <c r="T55" s="283">
        <f t="shared" si="9"/>
        <v>4722.3440000000001</v>
      </c>
      <c r="U55" s="283">
        <f t="shared" si="7"/>
        <v>5401.0990000000002</v>
      </c>
      <c r="V55" s="283">
        <f t="shared" si="8"/>
        <v>5903.4980000000005</v>
      </c>
    </row>
    <row r="56" spans="1:22" ht="24.95" customHeight="1">
      <c r="A56" s="284" t="s">
        <v>48</v>
      </c>
      <c r="B56" s="285" t="s">
        <v>13</v>
      </c>
      <c r="C56" s="286" t="s">
        <v>289</v>
      </c>
      <c r="D56" s="279">
        <v>177043</v>
      </c>
      <c r="E56" s="279">
        <v>6937</v>
      </c>
      <c r="F56" s="279">
        <v>40536</v>
      </c>
      <c r="G56" s="279">
        <v>2632</v>
      </c>
      <c r="H56" s="279">
        <v>4127</v>
      </c>
      <c r="I56" s="279">
        <v>102258</v>
      </c>
      <c r="J56" s="279">
        <v>20553</v>
      </c>
      <c r="K56" s="279">
        <f t="shared" si="1"/>
        <v>149553</v>
      </c>
      <c r="L56" s="280">
        <v>8.5000000000000006E-2</v>
      </c>
      <c r="M56" s="280">
        <v>0.23300000000000001</v>
      </c>
      <c r="N56" s="281">
        <v>0.185</v>
      </c>
      <c r="O56" s="282">
        <f t="shared" si="2"/>
        <v>589.6450000000001</v>
      </c>
      <c r="P56" s="283">
        <f t="shared" si="3"/>
        <v>3445.5600000000004</v>
      </c>
      <c r="Q56" s="275">
        <f t="shared" si="10"/>
        <v>223.72000000000003</v>
      </c>
      <c r="R56" s="283">
        <f t="shared" si="5"/>
        <v>961.59100000000001</v>
      </c>
      <c r="S56" s="275">
        <f t="shared" si="6"/>
        <v>1185.3110000000001</v>
      </c>
      <c r="T56" s="283">
        <f t="shared" si="9"/>
        <v>23826.114000000001</v>
      </c>
      <c r="U56" s="283">
        <f t="shared" si="7"/>
        <v>25011.425000000003</v>
      </c>
      <c r="V56" s="283">
        <f t="shared" si="8"/>
        <v>28456.985000000004</v>
      </c>
    </row>
    <row r="57" spans="1:22" ht="24.95" customHeight="1">
      <c r="A57" s="284" t="s">
        <v>84</v>
      </c>
      <c r="B57" s="285" t="s">
        <v>17</v>
      </c>
      <c r="C57" s="286" t="s">
        <v>289</v>
      </c>
      <c r="D57" s="279">
        <v>10636</v>
      </c>
      <c r="E57" s="279">
        <v>315</v>
      </c>
      <c r="F57" s="279">
        <v>1890</v>
      </c>
      <c r="G57" s="279">
        <v>105</v>
      </c>
      <c r="H57" s="279">
        <v>240</v>
      </c>
      <c r="I57" s="279">
        <v>6106</v>
      </c>
      <c r="J57" s="279">
        <v>1980</v>
      </c>
      <c r="K57" s="279">
        <f t="shared" si="1"/>
        <v>8341</v>
      </c>
      <c r="L57" s="280">
        <v>8.3000000000000004E-2</v>
      </c>
      <c r="M57" s="280">
        <v>0.22700000000000001</v>
      </c>
      <c r="N57" s="281">
        <v>0.189</v>
      </c>
      <c r="O57" s="282">
        <f t="shared" si="2"/>
        <v>26.145000000000003</v>
      </c>
      <c r="P57" s="283">
        <f t="shared" si="3"/>
        <v>156.87</v>
      </c>
      <c r="Q57" s="275">
        <f t="shared" si="10"/>
        <v>8.7149999999999999</v>
      </c>
      <c r="R57" s="283">
        <f t="shared" si="5"/>
        <v>54.480000000000004</v>
      </c>
      <c r="S57" s="275">
        <f t="shared" si="6"/>
        <v>63.195000000000007</v>
      </c>
      <c r="T57" s="283">
        <f t="shared" si="9"/>
        <v>1386.0620000000001</v>
      </c>
      <c r="U57" s="283">
        <f t="shared" si="7"/>
        <v>1449.2570000000001</v>
      </c>
      <c r="V57" s="283">
        <f t="shared" si="8"/>
        <v>1606.127</v>
      </c>
    </row>
    <row r="58" spans="1:22" ht="24.95" customHeight="1">
      <c r="A58" s="284" t="s">
        <v>118</v>
      </c>
      <c r="B58" s="285" t="s">
        <v>21</v>
      </c>
      <c r="C58" s="286" t="s">
        <v>289</v>
      </c>
      <c r="D58" s="279">
        <v>59857</v>
      </c>
      <c r="E58" s="279">
        <v>2522</v>
      </c>
      <c r="F58" s="279">
        <v>12613</v>
      </c>
      <c r="G58" s="279">
        <v>807</v>
      </c>
      <c r="H58" s="279">
        <v>1558</v>
      </c>
      <c r="I58" s="279">
        <v>33498</v>
      </c>
      <c r="J58" s="279">
        <v>8859</v>
      </c>
      <c r="K58" s="279">
        <f t="shared" si="1"/>
        <v>48476</v>
      </c>
      <c r="L58" s="280">
        <v>9.4E-2</v>
      </c>
      <c r="M58" s="280">
        <v>0.222</v>
      </c>
      <c r="N58" s="281">
        <v>0.182</v>
      </c>
      <c r="O58" s="282">
        <f t="shared" si="2"/>
        <v>237.06800000000001</v>
      </c>
      <c r="P58" s="283">
        <f t="shared" si="3"/>
        <v>1185.6220000000001</v>
      </c>
      <c r="Q58" s="275">
        <f t="shared" si="10"/>
        <v>75.858000000000004</v>
      </c>
      <c r="R58" s="283">
        <f t="shared" si="5"/>
        <v>345.87599999999998</v>
      </c>
      <c r="S58" s="275">
        <f t="shared" si="6"/>
        <v>421.73399999999998</v>
      </c>
      <c r="T58" s="283">
        <f t="shared" si="9"/>
        <v>7436.5560000000005</v>
      </c>
      <c r="U58" s="283">
        <f t="shared" si="7"/>
        <v>7858.2900000000009</v>
      </c>
      <c r="V58" s="283">
        <f t="shared" si="8"/>
        <v>9043.9120000000003</v>
      </c>
    </row>
    <row r="59" spans="1:22" ht="24.95" customHeight="1">
      <c r="A59" s="284" t="s">
        <v>98</v>
      </c>
      <c r="B59" s="285" t="s">
        <v>18</v>
      </c>
      <c r="C59" s="286" t="s">
        <v>289</v>
      </c>
      <c r="D59" s="279">
        <v>59401</v>
      </c>
      <c r="E59" s="279">
        <v>2023</v>
      </c>
      <c r="F59" s="279">
        <v>11619</v>
      </c>
      <c r="G59" s="279">
        <v>795</v>
      </c>
      <c r="H59" s="279">
        <v>1639</v>
      </c>
      <c r="I59" s="279">
        <v>33071</v>
      </c>
      <c r="J59" s="279">
        <v>10254</v>
      </c>
      <c r="K59" s="279">
        <f t="shared" si="1"/>
        <v>47124</v>
      </c>
      <c r="L59" s="280">
        <v>8.6999999999999994E-2</v>
      </c>
      <c r="M59" s="280">
        <v>0.20899999999999999</v>
      </c>
      <c r="N59" s="281">
        <v>0.17299999999999999</v>
      </c>
      <c r="O59" s="282">
        <f t="shared" si="2"/>
        <v>176.00099999999998</v>
      </c>
      <c r="P59" s="283">
        <f t="shared" si="3"/>
        <v>1010.853</v>
      </c>
      <c r="Q59" s="275">
        <f t="shared" si="10"/>
        <v>69.164999999999992</v>
      </c>
      <c r="R59" s="283">
        <f t="shared" si="5"/>
        <v>342.55099999999999</v>
      </c>
      <c r="S59" s="275">
        <f t="shared" si="6"/>
        <v>411.71600000000001</v>
      </c>
      <c r="T59" s="283">
        <f t="shared" si="9"/>
        <v>6911.8389999999999</v>
      </c>
      <c r="U59" s="283">
        <f t="shared" si="7"/>
        <v>7323.5550000000003</v>
      </c>
      <c r="V59" s="283">
        <f t="shared" si="8"/>
        <v>8334.4079999999994</v>
      </c>
    </row>
    <row r="60" spans="1:22" ht="24.95" customHeight="1">
      <c r="A60" s="284" t="s">
        <v>111</v>
      </c>
      <c r="B60" s="285" t="s">
        <v>20</v>
      </c>
      <c r="C60" s="286" t="s">
        <v>289</v>
      </c>
      <c r="D60" s="279">
        <v>79630</v>
      </c>
      <c r="E60" s="279">
        <v>2376</v>
      </c>
      <c r="F60" s="279">
        <v>15304</v>
      </c>
      <c r="G60" s="279">
        <v>1067</v>
      </c>
      <c r="H60" s="279">
        <v>1963</v>
      </c>
      <c r="I60" s="279">
        <v>46825</v>
      </c>
      <c r="J60" s="279">
        <v>12095</v>
      </c>
      <c r="K60" s="279">
        <f t="shared" si="1"/>
        <v>65159</v>
      </c>
      <c r="L60" s="280">
        <v>7.5999999999999998E-2</v>
      </c>
      <c r="M60" s="280">
        <v>0.20300000000000001</v>
      </c>
      <c r="N60" s="281">
        <v>0.16800000000000001</v>
      </c>
      <c r="O60" s="282">
        <f t="shared" si="2"/>
        <v>180.57599999999999</v>
      </c>
      <c r="P60" s="283">
        <f t="shared" si="3"/>
        <v>1163.104</v>
      </c>
      <c r="Q60" s="275">
        <f t="shared" si="10"/>
        <v>81.091999999999999</v>
      </c>
      <c r="R60" s="283">
        <f t="shared" si="5"/>
        <v>398.48900000000003</v>
      </c>
      <c r="S60" s="275">
        <f t="shared" si="6"/>
        <v>479.58100000000002</v>
      </c>
      <c r="T60" s="283">
        <f t="shared" si="9"/>
        <v>9505.4750000000004</v>
      </c>
      <c r="U60" s="283">
        <f t="shared" si="7"/>
        <v>9985.0560000000005</v>
      </c>
      <c r="V60" s="283">
        <f t="shared" si="8"/>
        <v>11148.16</v>
      </c>
    </row>
    <row r="61" spans="1:22" ht="24.95" customHeight="1">
      <c r="A61" s="284" t="s">
        <v>135</v>
      </c>
      <c r="B61" s="285" t="s">
        <v>295</v>
      </c>
      <c r="C61" s="286" t="s">
        <v>289</v>
      </c>
      <c r="D61" s="279">
        <v>34164</v>
      </c>
      <c r="E61" s="279">
        <v>1000</v>
      </c>
      <c r="F61" s="279">
        <v>5464</v>
      </c>
      <c r="G61" s="279">
        <v>381</v>
      </c>
      <c r="H61" s="279">
        <v>705</v>
      </c>
      <c r="I61" s="279">
        <v>17714</v>
      </c>
      <c r="J61" s="279">
        <v>8900</v>
      </c>
      <c r="K61" s="279">
        <f t="shared" si="1"/>
        <v>24264</v>
      </c>
      <c r="L61" s="280">
        <v>8.1000000000000003E-2</v>
      </c>
      <c r="M61" s="280">
        <v>0.19500000000000001</v>
      </c>
      <c r="N61" s="281">
        <v>0.16400000000000001</v>
      </c>
      <c r="O61" s="282">
        <f t="shared" si="2"/>
        <v>81</v>
      </c>
      <c r="P61" s="283">
        <f t="shared" si="3"/>
        <v>442.584</v>
      </c>
      <c r="Q61" s="275">
        <f t="shared" si="10"/>
        <v>30.861000000000001</v>
      </c>
      <c r="R61" s="283">
        <f t="shared" si="5"/>
        <v>137.47499999999999</v>
      </c>
      <c r="S61" s="275">
        <f t="shared" si="6"/>
        <v>168.33599999999998</v>
      </c>
      <c r="T61" s="283">
        <f t="shared" si="9"/>
        <v>3454.23</v>
      </c>
      <c r="U61" s="283">
        <f t="shared" si="7"/>
        <v>3622.5659999999998</v>
      </c>
      <c r="V61" s="283">
        <f t="shared" si="8"/>
        <v>4065.1499999999996</v>
      </c>
    </row>
    <row r="62" spans="1:22" ht="24.95" customHeight="1">
      <c r="A62" s="284" t="s">
        <v>136</v>
      </c>
      <c r="B62" s="285" t="s">
        <v>295</v>
      </c>
      <c r="C62" s="286" t="s">
        <v>289</v>
      </c>
      <c r="D62" s="279">
        <v>21472</v>
      </c>
      <c r="E62" s="279">
        <v>561</v>
      </c>
      <c r="F62" s="279">
        <v>3503</v>
      </c>
      <c r="G62" s="279">
        <v>346</v>
      </c>
      <c r="H62" s="279">
        <v>795</v>
      </c>
      <c r="I62" s="279">
        <v>12072</v>
      </c>
      <c r="J62" s="279">
        <v>4195</v>
      </c>
      <c r="K62" s="279">
        <f t="shared" si="1"/>
        <v>16716</v>
      </c>
      <c r="L62" s="280">
        <v>7.4999999999999997E-2</v>
      </c>
      <c r="M62" s="280">
        <v>0.192</v>
      </c>
      <c r="N62" s="281">
        <v>0.161</v>
      </c>
      <c r="O62" s="282">
        <f t="shared" si="2"/>
        <v>42.074999999999996</v>
      </c>
      <c r="P62" s="283">
        <f t="shared" si="3"/>
        <v>262.72499999999997</v>
      </c>
      <c r="Q62" s="275">
        <f t="shared" si="10"/>
        <v>25.95</v>
      </c>
      <c r="R62" s="283">
        <f t="shared" si="5"/>
        <v>152.64000000000001</v>
      </c>
      <c r="S62" s="275">
        <f t="shared" si="6"/>
        <v>178.59</v>
      </c>
      <c r="T62" s="283">
        <f t="shared" si="9"/>
        <v>2317.8240000000001</v>
      </c>
      <c r="U62" s="283">
        <f t="shared" si="7"/>
        <v>2496.4140000000002</v>
      </c>
      <c r="V62" s="283">
        <f t="shared" si="8"/>
        <v>2759.1390000000001</v>
      </c>
    </row>
    <row r="63" spans="1:22" ht="24.95" customHeight="1">
      <c r="A63" s="284" t="s">
        <v>85</v>
      </c>
      <c r="B63" s="285" t="s">
        <v>17</v>
      </c>
      <c r="C63" s="286" t="s">
        <v>289</v>
      </c>
      <c r="D63" s="279">
        <v>23870</v>
      </c>
      <c r="E63" s="279">
        <v>726</v>
      </c>
      <c r="F63" s="279">
        <v>4318</v>
      </c>
      <c r="G63" s="279">
        <v>262</v>
      </c>
      <c r="H63" s="279">
        <v>562</v>
      </c>
      <c r="I63" s="279">
        <v>13356</v>
      </c>
      <c r="J63" s="279">
        <v>4646</v>
      </c>
      <c r="K63" s="279">
        <f t="shared" si="1"/>
        <v>18498</v>
      </c>
      <c r="L63" s="280">
        <v>8.5000000000000006E-2</v>
      </c>
      <c r="M63" s="280">
        <v>0.21099999999999999</v>
      </c>
      <c r="N63" s="281">
        <v>0.17599999999999999</v>
      </c>
      <c r="O63" s="282">
        <f t="shared" si="2"/>
        <v>61.710000000000008</v>
      </c>
      <c r="P63" s="283">
        <f t="shared" si="3"/>
        <v>367.03000000000003</v>
      </c>
      <c r="Q63" s="275">
        <f t="shared" si="10"/>
        <v>22.270000000000003</v>
      </c>
      <c r="R63" s="283">
        <f t="shared" si="5"/>
        <v>118.58199999999999</v>
      </c>
      <c r="S63" s="275">
        <f t="shared" si="6"/>
        <v>140.852</v>
      </c>
      <c r="T63" s="283">
        <f t="shared" si="9"/>
        <v>2818.116</v>
      </c>
      <c r="U63" s="283">
        <f t="shared" si="7"/>
        <v>2958.9679999999998</v>
      </c>
      <c r="V63" s="283">
        <f t="shared" si="8"/>
        <v>3325.998</v>
      </c>
    </row>
    <row r="64" spans="1:22" ht="24.95" customHeight="1">
      <c r="A64" s="284" t="s">
        <v>137</v>
      </c>
      <c r="B64" s="285" t="s">
        <v>295</v>
      </c>
      <c r="C64" s="286" t="s">
        <v>289</v>
      </c>
      <c r="D64" s="279">
        <v>45359</v>
      </c>
      <c r="E64" s="279">
        <v>1373</v>
      </c>
      <c r="F64" s="279">
        <v>8159</v>
      </c>
      <c r="G64" s="279">
        <v>559</v>
      </c>
      <c r="H64" s="279">
        <v>990</v>
      </c>
      <c r="I64" s="279">
        <v>26051</v>
      </c>
      <c r="J64" s="279">
        <v>8227</v>
      </c>
      <c r="K64" s="279">
        <f t="shared" si="1"/>
        <v>35759</v>
      </c>
      <c r="L64" s="280">
        <v>7.8E-2</v>
      </c>
      <c r="M64" s="280">
        <v>0.189</v>
      </c>
      <c r="N64" s="281">
        <v>0.159</v>
      </c>
      <c r="O64" s="282">
        <f t="shared" si="2"/>
        <v>107.09399999999999</v>
      </c>
      <c r="P64" s="283">
        <f t="shared" si="3"/>
        <v>636.40200000000004</v>
      </c>
      <c r="Q64" s="275">
        <f t="shared" si="10"/>
        <v>43.601999999999997</v>
      </c>
      <c r="R64" s="283">
        <f t="shared" si="5"/>
        <v>187.11</v>
      </c>
      <c r="S64" s="275">
        <f t="shared" si="6"/>
        <v>230.71200000000002</v>
      </c>
      <c r="T64" s="283">
        <f t="shared" si="9"/>
        <v>4923.6390000000001</v>
      </c>
      <c r="U64" s="283">
        <f t="shared" si="7"/>
        <v>5154.3510000000006</v>
      </c>
      <c r="V64" s="283">
        <f t="shared" si="8"/>
        <v>5790.7530000000006</v>
      </c>
    </row>
    <row r="65" spans="1:22" ht="24.95" customHeight="1">
      <c r="A65" s="284" t="s">
        <v>105</v>
      </c>
      <c r="B65" s="285" t="s">
        <v>19</v>
      </c>
      <c r="C65" s="286" t="s">
        <v>288</v>
      </c>
      <c r="D65" s="279">
        <v>986516</v>
      </c>
      <c r="E65" s="279">
        <v>42260</v>
      </c>
      <c r="F65" s="279">
        <v>200637</v>
      </c>
      <c r="G65" s="279">
        <v>12269</v>
      </c>
      <c r="H65" s="279">
        <v>25325</v>
      </c>
      <c r="I65" s="279">
        <v>609683</v>
      </c>
      <c r="J65" s="279">
        <v>96342</v>
      </c>
      <c r="K65" s="279">
        <f t="shared" si="1"/>
        <v>847914</v>
      </c>
      <c r="L65" s="280">
        <v>8.6999999999999994E-2</v>
      </c>
      <c r="M65" s="280">
        <v>0.21199999999999999</v>
      </c>
      <c r="N65" s="281">
        <v>0.17499999999999999</v>
      </c>
      <c r="O65" s="282">
        <f t="shared" si="2"/>
        <v>3676.62</v>
      </c>
      <c r="P65" s="283">
        <f t="shared" si="3"/>
        <v>17455.418999999998</v>
      </c>
      <c r="Q65" s="275">
        <f t="shared" si="10"/>
        <v>1067.403</v>
      </c>
      <c r="R65" s="283">
        <f t="shared" si="5"/>
        <v>5368.9</v>
      </c>
      <c r="S65" s="275">
        <f t="shared" si="6"/>
        <v>6436.3029999999999</v>
      </c>
      <c r="T65" s="283">
        <f t="shared" si="9"/>
        <v>129252.796</v>
      </c>
      <c r="U65" s="283">
        <f t="shared" si="7"/>
        <v>135689.09899999999</v>
      </c>
      <c r="V65" s="283">
        <f t="shared" si="8"/>
        <v>153144.51799999998</v>
      </c>
    </row>
    <row r="66" spans="1:22" ht="24.95" customHeight="1">
      <c r="A66" s="284" t="s">
        <v>138</v>
      </c>
      <c r="B66" s="285" t="s">
        <v>295</v>
      </c>
      <c r="C66" s="286" t="s">
        <v>289</v>
      </c>
      <c r="D66" s="279">
        <v>15365</v>
      </c>
      <c r="E66" s="279">
        <v>427</v>
      </c>
      <c r="F66" s="279">
        <v>2425</v>
      </c>
      <c r="G66" s="279">
        <v>128</v>
      </c>
      <c r="H66" s="279">
        <v>314</v>
      </c>
      <c r="I66" s="279">
        <v>8624</v>
      </c>
      <c r="J66" s="279">
        <v>3447</v>
      </c>
      <c r="K66" s="279">
        <f t="shared" si="1"/>
        <v>11491</v>
      </c>
      <c r="L66" s="280">
        <v>7.5999999999999998E-2</v>
      </c>
      <c r="M66" s="280">
        <v>0.187</v>
      </c>
      <c r="N66" s="281">
        <v>0.159</v>
      </c>
      <c r="O66" s="282">
        <f t="shared" si="2"/>
        <v>32.451999999999998</v>
      </c>
      <c r="P66" s="283">
        <f t="shared" si="3"/>
        <v>184.29999999999998</v>
      </c>
      <c r="Q66" s="275">
        <f t="shared" si="10"/>
        <v>9.7279999999999998</v>
      </c>
      <c r="R66" s="283">
        <f t="shared" si="5"/>
        <v>58.717999999999996</v>
      </c>
      <c r="S66" s="275">
        <f t="shared" si="6"/>
        <v>68.445999999999998</v>
      </c>
      <c r="T66" s="283">
        <f t="shared" si="9"/>
        <v>1612.6880000000001</v>
      </c>
      <c r="U66" s="283">
        <f t="shared" si="7"/>
        <v>1681.134</v>
      </c>
      <c r="V66" s="283">
        <f t="shared" si="8"/>
        <v>1865.434</v>
      </c>
    </row>
    <row r="67" spans="1:22" ht="24.95" customHeight="1">
      <c r="A67" s="284" t="s">
        <v>119</v>
      </c>
      <c r="B67" s="285" t="s">
        <v>21</v>
      </c>
      <c r="C67" s="286" t="s">
        <v>289</v>
      </c>
      <c r="D67" s="279">
        <v>28059</v>
      </c>
      <c r="E67" s="279">
        <v>999</v>
      </c>
      <c r="F67" s="279">
        <v>5487</v>
      </c>
      <c r="G67" s="279">
        <v>409</v>
      </c>
      <c r="H67" s="279">
        <v>819</v>
      </c>
      <c r="I67" s="279">
        <v>15380</v>
      </c>
      <c r="J67" s="279">
        <v>4965</v>
      </c>
      <c r="K67" s="279">
        <f t="shared" si="1"/>
        <v>22095</v>
      </c>
      <c r="L67" s="280">
        <v>9.5000000000000001E-2</v>
      </c>
      <c r="M67" s="280">
        <v>0.22500000000000001</v>
      </c>
      <c r="N67" s="281">
        <v>0.187</v>
      </c>
      <c r="O67" s="282">
        <f t="shared" si="2"/>
        <v>94.905000000000001</v>
      </c>
      <c r="P67" s="283">
        <f t="shared" si="3"/>
        <v>521.26499999999999</v>
      </c>
      <c r="Q67" s="275">
        <f t="shared" si="10"/>
        <v>38.855000000000004</v>
      </c>
      <c r="R67" s="283">
        <f t="shared" si="5"/>
        <v>184.27500000000001</v>
      </c>
      <c r="S67" s="275">
        <f t="shared" si="6"/>
        <v>223.13</v>
      </c>
      <c r="T67" s="283">
        <f t="shared" si="9"/>
        <v>3460.5</v>
      </c>
      <c r="U67" s="283">
        <f t="shared" si="7"/>
        <v>3683.63</v>
      </c>
      <c r="V67" s="283">
        <f t="shared" si="8"/>
        <v>4204.8950000000004</v>
      </c>
    </row>
    <row r="68" spans="1:22" ht="24.95" customHeight="1">
      <c r="A68" s="284" t="s">
        <v>120</v>
      </c>
      <c r="B68" s="285" t="s">
        <v>21</v>
      </c>
      <c r="C68" s="286" t="s">
        <v>289</v>
      </c>
      <c r="D68" s="279">
        <v>91879</v>
      </c>
      <c r="E68" s="279">
        <v>2940</v>
      </c>
      <c r="F68" s="279">
        <v>16513</v>
      </c>
      <c r="G68" s="279">
        <v>1078</v>
      </c>
      <c r="H68" s="279">
        <v>1925</v>
      </c>
      <c r="I68" s="279">
        <v>47075</v>
      </c>
      <c r="J68" s="279">
        <v>22348</v>
      </c>
      <c r="K68" s="279">
        <f t="shared" si="1"/>
        <v>66591</v>
      </c>
      <c r="L68" s="280">
        <v>0.08</v>
      </c>
      <c r="M68" s="280">
        <v>0.19500000000000001</v>
      </c>
      <c r="N68" s="281">
        <v>0.16200000000000001</v>
      </c>
      <c r="O68" s="282">
        <f t="shared" si="2"/>
        <v>235.20000000000002</v>
      </c>
      <c r="P68" s="283">
        <f t="shared" si="3"/>
        <v>1321.04</v>
      </c>
      <c r="Q68" s="275">
        <f t="shared" si="10"/>
        <v>86.24</v>
      </c>
      <c r="R68" s="283">
        <f t="shared" si="5"/>
        <v>375.375</v>
      </c>
      <c r="S68" s="275">
        <f t="shared" si="6"/>
        <v>461.61500000000001</v>
      </c>
      <c r="T68" s="283">
        <f t="shared" si="9"/>
        <v>9179.625</v>
      </c>
      <c r="U68" s="283">
        <f t="shared" si="7"/>
        <v>9641.24</v>
      </c>
      <c r="V68" s="283">
        <f t="shared" si="8"/>
        <v>10962.279999999999</v>
      </c>
    </row>
    <row r="69" spans="1:22" ht="24.95" customHeight="1">
      <c r="A69" s="284" t="s">
        <v>99</v>
      </c>
      <c r="B69" s="285" t="s">
        <v>18</v>
      </c>
      <c r="C69" s="286" t="s">
        <v>289</v>
      </c>
      <c r="D69" s="279">
        <v>94722</v>
      </c>
      <c r="E69" s="279">
        <v>3258</v>
      </c>
      <c r="F69" s="279">
        <v>18360</v>
      </c>
      <c r="G69" s="279">
        <v>1315</v>
      </c>
      <c r="H69" s="279">
        <v>2351</v>
      </c>
      <c r="I69" s="279">
        <v>54654</v>
      </c>
      <c r="J69" s="279">
        <v>14784</v>
      </c>
      <c r="K69" s="279">
        <f t="shared" si="1"/>
        <v>76680</v>
      </c>
      <c r="L69" s="280">
        <v>8.5999999999999993E-2</v>
      </c>
      <c r="M69" s="280">
        <v>0.20699999999999999</v>
      </c>
      <c r="N69" s="281">
        <v>0.17199999999999999</v>
      </c>
      <c r="O69" s="282">
        <f t="shared" si="2"/>
        <v>280.18799999999999</v>
      </c>
      <c r="P69" s="283">
        <f t="shared" si="3"/>
        <v>1578.9599999999998</v>
      </c>
      <c r="Q69" s="275">
        <f t="shared" si="10"/>
        <v>113.08999999999999</v>
      </c>
      <c r="R69" s="283">
        <f t="shared" si="5"/>
        <v>486.65699999999998</v>
      </c>
      <c r="S69" s="275">
        <f t="shared" si="6"/>
        <v>599.74699999999996</v>
      </c>
      <c r="T69" s="283">
        <f t="shared" si="9"/>
        <v>11313.377999999999</v>
      </c>
      <c r="U69" s="283">
        <f t="shared" si="7"/>
        <v>11913.124999999998</v>
      </c>
      <c r="V69" s="283">
        <f t="shared" si="8"/>
        <v>13492.084999999997</v>
      </c>
    </row>
    <row r="70" spans="1:22" ht="24.95" customHeight="1">
      <c r="A70" s="284" t="s">
        <v>71</v>
      </c>
      <c r="B70" s="285" t="s">
        <v>16</v>
      </c>
      <c r="C70" s="286" t="s">
        <v>288</v>
      </c>
      <c r="D70" s="279">
        <v>213785</v>
      </c>
      <c r="E70" s="279">
        <v>6746</v>
      </c>
      <c r="F70" s="279">
        <v>34620</v>
      </c>
      <c r="G70" s="279">
        <v>3454</v>
      </c>
      <c r="H70" s="279">
        <v>8188</v>
      </c>
      <c r="I70" s="279">
        <v>128110</v>
      </c>
      <c r="J70" s="279">
        <v>32667</v>
      </c>
      <c r="K70" s="279">
        <f t="shared" si="1"/>
        <v>174372</v>
      </c>
      <c r="L70" s="280">
        <v>7.9000000000000001E-2</v>
      </c>
      <c r="M70" s="280">
        <v>0.2</v>
      </c>
      <c r="N70" s="281">
        <v>0.16900000000000001</v>
      </c>
      <c r="O70" s="282">
        <f t="shared" si="2"/>
        <v>532.93399999999997</v>
      </c>
      <c r="P70" s="283">
        <f t="shared" si="3"/>
        <v>2734.98</v>
      </c>
      <c r="Q70" s="275">
        <f t="shared" si="10"/>
        <v>272.86599999999999</v>
      </c>
      <c r="R70" s="283">
        <f t="shared" si="5"/>
        <v>1637.6000000000001</v>
      </c>
      <c r="S70" s="275">
        <f t="shared" si="6"/>
        <v>1910.4660000000001</v>
      </c>
      <c r="T70" s="283">
        <f t="shared" ref="T70:T105" si="11">M70*I70</f>
        <v>25622</v>
      </c>
      <c r="U70" s="283">
        <f t="shared" si="7"/>
        <v>27532.466</v>
      </c>
      <c r="V70" s="283">
        <f t="shared" si="8"/>
        <v>30267.446</v>
      </c>
    </row>
    <row r="71" spans="1:22" ht="24.95" customHeight="1">
      <c r="A71" s="284" t="s">
        <v>86</v>
      </c>
      <c r="B71" s="285" t="s">
        <v>17</v>
      </c>
      <c r="C71" s="286" t="s">
        <v>289</v>
      </c>
      <c r="D71" s="279">
        <v>21348</v>
      </c>
      <c r="E71" s="279">
        <v>580</v>
      </c>
      <c r="F71" s="279">
        <v>3585</v>
      </c>
      <c r="G71" s="279">
        <v>213</v>
      </c>
      <c r="H71" s="279">
        <v>493</v>
      </c>
      <c r="I71" s="279">
        <v>11920</v>
      </c>
      <c r="J71" s="279">
        <v>4557</v>
      </c>
      <c r="K71" s="279">
        <f t="shared" ref="K71:K105" si="12">SUM(F71:I71)</f>
        <v>16211</v>
      </c>
      <c r="L71" s="280">
        <v>8.5999999999999993E-2</v>
      </c>
      <c r="M71" s="280">
        <v>0.23100000000000001</v>
      </c>
      <c r="N71" s="281">
        <v>0.192</v>
      </c>
      <c r="O71" s="282">
        <f t="shared" ref="O71:O105" si="13">L71*E71</f>
        <v>49.879999999999995</v>
      </c>
      <c r="P71" s="283">
        <f t="shared" ref="P71:P105" si="14">L71*F71</f>
        <v>308.31</v>
      </c>
      <c r="Q71" s="275">
        <f t="shared" ref="Q71:Q105" si="15">L71*G71</f>
        <v>18.317999999999998</v>
      </c>
      <c r="R71" s="283">
        <f t="shared" ref="R71:R105" si="16">M71*H71</f>
        <v>113.88300000000001</v>
      </c>
      <c r="S71" s="275">
        <f t="shared" ref="S71:S105" si="17">SUM(Q71:R71)</f>
        <v>132.20100000000002</v>
      </c>
      <c r="T71" s="283">
        <f t="shared" si="11"/>
        <v>2753.52</v>
      </c>
      <c r="U71" s="283">
        <f t="shared" ref="U71:U105" si="18">SUM(S71:T71)</f>
        <v>2885.721</v>
      </c>
      <c r="V71" s="283">
        <f t="shared" ref="V71:V105" si="19">SUM(P71,U71)</f>
        <v>3194.0309999999999</v>
      </c>
    </row>
    <row r="72" spans="1:22" ht="24.95" customHeight="1">
      <c r="A72" s="284" t="s">
        <v>72</v>
      </c>
      <c r="B72" s="285" t="s">
        <v>16</v>
      </c>
      <c r="C72" s="286" t="s">
        <v>289</v>
      </c>
      <c r="D72" s="279">
        <v>194201</v>
      </c>
      <c r="E72" s="279">
        <v>13088</v>
      </c>
      <c r="F72" s="279">
        <v>39636</v>
      </c>
      <c r="G72" s="279">
        <v>3137</v>
      </c>
      <c r="H72" s="279">
        <v>11591</v>
      </c>
      <c r="I72" s="279">
        <v>110790</v>
      </c>
      <c r="J72" s="279">
        <v>15959</v>
      </c>
      <c r="K72" s="279">
        <f t="shared" si="12"/>
        <v>165154</v>
      </c>
      <c r="L72" s="280">
        <v>0.08</v>
      </c>
      <c r="M72" s="280">
        <v>0.24</v>
      </c>
      <c r="N72" s="281">
        <v>0.192</v>
      </c>
      <c r="O72" s="282">
        <f t="shared" si="13"/>
        <v>1047.04</v>
      </c>
      <c r="P72" s="283">
        <f t="shared" si="14"/>
        <v>3170.88</v>
      </c>
      <c r="Q72" s="275">
        <f t="shared" si="15"/>
        <v>250.96</v>
      </c>
      <c r="R72" s="283">
        <f t="shared" si="16"/>
        <v>2781.8399999999997</v>
      </c>
      <c r="S72" s="275">
        <f t="shared" si="17"/>
        <v>3032.7999999999997</v>
      </c>
      <c r="T72" s="283">
        <f t="shared" si="11"/>
        <v>26589.599999999999</v>
      </c>
      <c r="U72" s="283">
        <f t="shared" si="18"/>
        <v>29622.399999999998</v>
      </c>
      <c r="V72" s="283">
        <f t="shared" si="19"/>
        <v>32793.279999999999</v>
      </c>
    </row>
    <row r="73" spans="1:22" ht="24.95" customHeight="1">
      <c r="A73" s="284" t="s">
        <v>58</v>
      </c>
      <c r="B73" s="285" t="s">
        <v>14</v>
      </c>
      <c r="C73" s="286" t="s">
        <v>288</v>
      </c>
      <c r="D73" s="279">
        <v>140723</v>
      </c>
      <c r="E73" s="279">
        <v>3868</v>
      </c>
      <c r="F73" s="279">
        <v>24611</v>
      </c>
      <c r="G73" s="279">
        <v>3058</v>
      </c>
      <c r="H73" s="279">
        <v>9109</v>
      </c>
      <c r="I73" s="279">
        <v>84587</v>
      </c>
      <c r="J73" s="279">
        <v>15490</v>
      </c>
      <c r="K73" s="279">
        <f t="shared" si="12"/>
        <v>121365</v>
      </c>
      <c r="L73" s="280">
        <v>8.2000000000000003E-2</v>
      </c>
      <c r="M73" s="280">
        <v>0.19500000000000001</v>
      </c>
      <c r="N73" s="281">
        <v>0.16400000000000001</v>
      </c>
      <c r="O73" s="282">
        <f t="shared" si="13"/>
        <v>317.17599999999999</v>
      </c>
      <c r="P73" s="283">
        <f t="shared" si="14"/>
        <v>2018.1020000000001</v>
      </c>
      <c r="Q73" s="275">
        <f t="shared" si="15"/>
        <v>250.756</v>
      </c>
      <c r="R73" s="283">
        <f t="shared" si="16"/>
        <v>1776.2550000000001</v>
      </c>
      <c r="S73" s="275">
        <f t="shared" si="17"/>
        <v>2027.0110000000002</v>
      </c>
      <c r="T73" s="283">
        <f t="shared" si="11"/>
        <v>16494.465</v>
      </c>
      <c r="U73" s="283">
        <f t="shared" si="18"/>
        <v>18521.475999999999</v>
      </c>
      <c r="V73" s="283">
        <f t="shared" si="19"/>
        <v>20539.577999999998</v>
      </c>
    </row>
    <row r="74" spans="1:22" ht="24.95" customHeight="1">
      <c r="A74" s="284" t="s">
        <v>87</v>
      </c>
      <c r="B74" s="285" t="s">
        <v>17</v>
      </c>
      <c r="C74" s="286" t="s">
        <v>289</v>
      </c>
      <c r="D74" s="279">
        <v>13320</v>
      </c>
      <c r="E74" s="279">
        <v>302</v>
      </c>
      <c r="F74" s="279">
        <v>1949</v>
      </c>
      <c r="G74" s="279">
        <v>124</v>
      </c>
      <c r="H74" s="279">
        <v>218</v>
      </c>
      <c r="I74" s="279">
        <v>7441</v>
      </c>
      <c r="J74" s="279">
        <v>3286</v>
      </c>
      <c r="K74" s="279">
        <f t="shared" si="12"/>
        <v>9732</v>
      </c>
      <c r="L74" s="280">
        <v>7.9000000000000001E-2</v>
      </c>
      <c r="M74" s="280">
        <v>0.20200000000000001</v>
      </c>
      <c r="N74" s="281">
        <v>0.17199999999999999</v>
      </c>
      <c r="O74" s="282">
        <f t="shared" si="13"/>
        <v>23.858000000000001</v>
      </c>
      <c r="P74" s="283">
        <f t="shared" si="14"/>
        <v>153.971</v>
      </c>
      <c r="Q74" s="275">
        <f t="shared" si="15"/>
        <v>9.7959999999999994</v>
      </c>
      <c r="R74" s="283">
        <f t="shared" si="16"/>
        <v>44.036000000000001</v>
      </c>
      <c r="S74" s="275">
        <f t="shared" si="17"/>
        <v>53.832000000000001</v>
      </c>
      <c r="T74" s="283">
        <f t="shared" si="11"/>
        <v>1503.0820000000001</v>
      </c>
      <c r="U74" s="283">
        <f t="shared" si="18"/>
        <v>1556.9140000000002</v>
      </c>
      <c r="V74" s="283">
        <f t="shared" si="19"/>
        <v>1710.8850000000002</v>
      </c>
    </row>
    <row r="75" spans="1:22" ht="24.95" customHeight="1">
      <c r="A75" s="284" t="s">
        <v>88</v>
      </c>
      <c r="B75" s="285" t="s">
        <v>17</v>
      </c>
      <c r="C75" s="286" t="s">
        <v>289</v>
      </c>
      <c r="D75" s="279">
        <v>39740</v>
      </c>
      <c r="E75" s="279">
        <v>1386</v>
      </c>
      <c r="F75" s="279">
        <v>7578</v>
      </c>
      <c r="G75" s="279">
        <v>746</v>
      </c>
      <c r="H75" s="279">
        <v>1568</v>
      </c>
      <c r="I75" s="279">
        <v>22697</v>
      </c>
      <c r="J75" s="279">
        <v>5765</v>
      </c>
      <c r="K75" s="279">
        <f t="shared" si="12"/>
        <v>32589</v>
      </c>
      <c r="L75" s="280">
        <v>8.2000000000000003E-2</v>
      </c>
      <c r="M75" s="280">
        <v>0.21099999999999999</v>
      </c>
      <c r="N75" s="281">
        <v>0.17399999999999999</v>
      </c>
      <c r="O75" s="282">
        <f t="shared" si="13"/>
        <v>113.652</v>
      </c>
      <c r="P75" s="283">
        <f t="shared" si="14"/>
        <v>621.39600000000007</v>
      </c>
      <c r="Q75" s="275">
        <f t="shared" si="15"/>
        <v>61.172000000000004</v>
      </c>
      <c r="R75" s="283">
        <f t="shared" si="16"/>
        <v>330.84800000000001</v>
      </c>
      <c r="S75" s="275">
        <f t="shared" si="17"/>
        <v>392.02000000000004</v>
      </c>
      <c r="T75" s="283">
        <f t="shared" si="11"/>
        <v>4789.067</v>
      </c>
      <c r="U75" s="283">
        <f t="shared" si="18"/>
        <v>5181.0870000000004</v>
      </c>
      <c r="V75" s="283">
        <f t="shared" si="19"/>
        <v>5802.4830000000002</v>
      </c>
    </row>
    <row r="76" spans="1:22" ht="24.95" customHeight="1">
      <c r="A76" s="284" t="s">
        <v>73</v>
      </c>
      <c r="B76" s="285" t="s">
        <v>16</v>
      </c>
      <c r="C76" s="286" t="s">
        <v>289</v>
      </c>
      <c r="D76" s="279">
        <v>55313</v>
      </c>
      <c r="E76" s="279">
        <v>1825</v>
      </c>
      <c r="F76" s="279">
        <v>10092</v>
      </c>
      <c r="G76" s="279">
        <v>664</v>
      </c>
      <c r="H76" s="279">
        <v>1422</v>
      </c>
      <c r="I76" s="279">
        <v>32078</v>
      </c>
      <c r="J76" s="279">
        <v>9232</v>
      </c>
      <c r="K76" s="279">
        <f t="shared" si="12"/>
        <v>44256</v>
      </c>
      <c r="L76" s="280">
        <v>0.08</v>
      </c>
      <c r="M76" s="280">
        <v>0.222</v>
      </c>
      <c r="N76" s="281">
        <v>0.182</v>
      </c>
      <c r="O76" s="282">
        <f t="shared" si="13"/>
        <v>146</v>
      </c>
      <c r="P76" s="283">
        <f t="shared" si="14"/>
        <v>807.36</v>
      </c>
      <c r="Q76" s="275">
        <f t="shared" si="15"/>
        <v>53.120000000000005</v>
      </c>
      <c r="R76" s="283">
        <f t="shared" si="16"/>
        <v>315.68400000000003</v>
      </c>
      <c r="S76" s="275">
        <f t="shared" si="17"/>
        <v>368.80400000000003</v>
      </c>
      <c r="T76" s="283">
        <f t="shared" si="11"/>
        <v>7121.3159999999998</v>
      </c>
      <c r="U76" s="283">
        <f t="shared" si="18"/>
        <v>7490.12</v>
      </c>
      <c r="V76" s="283">
        <f t="shared" si="19"/>
        <v>8297.48</v>
      </c>
    </row>
    <row r="77" spans="1:22" ht="24.95" customHeight="1">
      <c r="A77" s="284" t="s">
        <v>89</v>
      </c>
      <c r="B77" s="285" t="s">
        <v>17</v>
      </c>
      <c r="C77" s="286" t="s">
        <v>289</v>
      </c>
      <c r="D77" s="279">
        <v>13771</v>
      </c>
      <c r="E77" s="279">
        <v>382</v>
      </c>
      <c r="F77" s="279">
        <v>2284</v>
      </c>
      <c r="G77" s="279">
        <v>134</v>
      </c>
      <c r="H77" s="279">
        <v>330</v>
      </c>
      <c r="I77" s="279">
        <v>7302</v>
      </c>
      <c r="J77" s="279">
        <v>3339</v>
      </c>
      <c r="K77" s="279">
        <f t="shared" si="12"/>
        <v>10050</v>
      </c>
      <c r="L77" s="280">
        <v>7.6999999999999999E-2</v>
      </c>
      <c r="M77" s="280">
        <v>0.215</v>
      </c>
      <c r="N77" s="281">
        <v>0.17799999999999999</v>
      </c>
      <c r="O77" s="282">
        <f t="shared" si="13"/>
        <v>29.413999999999998</v>
      </c>
      <c r="P77" s="283">
        <f t="shared" si="14"/>
        <v>175.86799999999999</v>
      </c>
      <c r="Q77" s="275">
        <f t="shared" si="15"/>
        <v>10.318</v>
      </c>
      <c r="R77" s="283">
        <f t="shared" si="16"/>
        <v>70.95</v>
      </c>
      <c r="S77" s="275">
        <f t="shared" si="17"/>
        <v>81.268000000000001</v>
      </c>
      <c r="T77" s="283">
        <f t="shared" si="11"/>
        <v>1569.93</v>
      </c>
      <c r="U77" s="283">
        <f t="shared" si="18"/>
        <v>1651.1980000000001</v>
      </c>
      <c r="V77" s="283">
        <f t="shared" si="19"/>
        <v>1827.066</v>
      </c>
    </row>
    <row r="78" spans="1:22" ht="24.95" customHeight="1">
      <c r="A78" s="284" t="s">
        <v>59</v>
      </c>
      <c r="B78" s="285" t="s">
        <v>14</v>
      </c>
      <c r="C78" s="286" t="s">
        <v>289</v>
      </c>
      <c r="D78" s="279">
        <v>39309</v>
      </c>
      <c r="E78" s="279">
        <v>1233</v>
      </c>
      <c r="F78" s="279">
        <v>7390</v>
      </c>
      <c r="G78" s="279">
        <v>452</v>
      </c>
      <c r="H78" s="279">
        <v>886</v>
      </c>
      <c r="I78" s="279">
        <v>22799</v>
      </c>
      <c r="J78" s="279">
        <v>6549</v>
      </c>
      <c r="K78" s="279">
        <f t="shared" si="12"/>
        <v>31527</v>
      </c>
      <c r="L78" s="280">
        <v>7.9000000000000001E-2</v>
      </c>
      <c r="M78" s="280">
        <v>0.20699999999999999</v>
      </c>
      <c r="N78" s="281">
        <v>0.17100000000000001</v>
      </c>
      <c r="O78" s="282">
        <f t="shared" si="13"/>
        <v>97.406999999999996</v>
      </c>
      <c r="P78" s="283">
        <f t="shared" si="14"/>
        <v>583.81000000000006</v>
      </c>
      <c r="Q78" s="275">
        <f t="shared" si="15"/>
        <v>35.707999999999998</v>
      </c>
      <c r="R78" s="283">
        <f t="shared" si="16"/>
        <v>183.40199999999999</v>
      </c>
      <c r="S78" s="275">
        <f t="shared" si="17"/>
        <v>219.10999999999999</v>
      </c>
      <c r="T78" s="283">
        <f t="shared" si="11"/>
        <v>4719.393</v>
      </c>
      <c r="U78" s="283">
        <f t="shared" si="18"/>
        <v>4938.5029999999997</v>
      </c>
      <c r="V78" s="283">
        <f t="shared" si="19"/>
        <v>5522.3130000000001</v>
      </c>
    </row>
    <row r="79" spans="1:22" ht="24.95" customHeight="1">
      <c r="A79" s="284" t="s">
        <v>90</v>
      </c>
      <c r="B79" s="285" t="s">
        <v>17</v>
      </c>
      <c r="C79" s="286" t="s">
        <v>289</v>
      </c>
      <c r="D79" s="279">
        <v>174501</v>
      </c>
      <c r="E79" s="279">
        <v>6447</v>
      </c>
      <c r="F79" s="279">
        <v>32215</v>
      </c>
      <c r="G79" s="279">
        <v>3850</v>
      </c>
      <c r="H79" s="279">
        <v>11148</v>
      </c>
      <c r="I79" s="279">
        <v>101692</v>
      </c>
      <c r="J79" s="279">
        <v>19149</v>
      </c>
      <c r="K79" s="279">
        <f t="shared" si="12"/>
        <v>148905</v>
      </c>
      <c r="L79" s="280">
        <v>8.5000000000000006E-2</v>
      </c>
      <c r="M79" s="280">
        <v>0.22</v>
      </c>
      <c r="N79" s="281">
        <v>0.18099999999999999</v>
      </c>
      <c r="O79" s="282">
        <f t="shared" si="13"/>
        <v>547.995</v>
      </c>
      <c r="P79" s="283">
        <f t="shared" si="14"/>
        <v>2738.2750000000001</v>
      </c>
      <c r="Q79" s="275">
        <f t="shared" si="15"/>
        <v>327.25</v>
      </c>
      <c r="R79" s="283">
        <f t="shared" si="16"/>
        <v>2452.56</v>
      </c>
      <c r="S79" s="275">
        <f t="shared" si="17"/>
        <v>2779.81</v>
      </c>
      <c r="T79" s="283">
        <f t="shared" si="11"/>
        <v>22372.240000000002</v>
      </c>
      <c r="U79" s="283">
        <f t="shared" si="18"/>
        <v>25152.050000000003</v>
      </c>
      <c r="V79" s="283">
        <f t="shared" si="19"/>
        <v>27890.325000000004</v>
      </c>
    </row>
    <row r="80" spans="1:22" ht="24.95" customHeight="1">
      <c r="A80" s="284" t="s">
        <v>139</v>
      </c>
      <c r="B80" s="285" t="s">
        <v>295</v>
      </c>
      <c r="C80" s="286" t="s">
        <v>289</v>
      </c>
      <c r="D80" s="279">
        <v>20077</v>
      </c>
      <c r="E80" s="279">
        <v>384</v>
      </c>
      <c r="F80" s="279">
        <v>3151</v>
      </c>
      <c r="G80" s="279">
        <v>205</v>
      </c>
      <c r="H80" s="279">
        <v>402</v>
      </c>
      <c r="I80" s="279">
        <v>10633</v>
      </c>
      <c r="J80" s="279">
        <v>5302</v>
      </c>
      <c r="K80" s="279">
        <f t="shared" si="12"/>
        <v>14391</v>
      </c>
      <c r="L80" s="280">
        <v>0.08</v>
      </c>
      <c r="M80" s="280">
        <v>0.186</v>
      </c>
      <c r="N80" s="281">
        <v>0.159</v>
      </c>
      <c r="O80" s="282">
        <f t="shared" si="13"/>
        <v>30.72</v>
      </c>
      <c r="P80" s="283">
        <f t="shared" si="14"/>
        <v>252.08</v>
      </c>
      <c r="Q80" s="275">
        <f t="shared" si="15"/>
        <v>16.399999999999999</v>
      </c>
      <c r="R80" s="283">
        <f t="shared" si="16"/>
        <v>74.772000000000006</v>
      </c>
      <c r="S80" s="275">
        <f t="shared" si="17"/>
        <v>91.171999999999997</v>
      </c>
      <c r="T80" s="283">
        <f t="shared" si="11"/>
        <v>1977.7380000000001</v>
      </c>
      <c r="U80" s="283">
        <f t="shared" si="18"/>
        <v>2068.91</v>
      </c>
      <c r="V80" s="283">
        <f t="shared" si="19"/>
        <v>2320.9899999999998</v>
      </c>
    </row>
    <row r="81" spans="1:22" ht="24.95" customHeight="1">
      <c r="A81" s="284" t="s">
        <v>121</v>
      </c>
      <c r="B81" s="285" t="s">
        <v>21</v>
      </c>
      <c r="C81" s="286" t="s">
        <v>289</v>
      </c>
      <c r="D81" s="279">
        <v>142646</v>
      </c>
      <c r="E81" s="279">
        <v>4875</v>
      </c>
      <c r="F81" s="279">
        <v>28657</v>
      </c>
      <c r="G81" s="279">
        <v>1949</v>
      </c>
      <c r="H81" s="279">
        <v>3998</v>
      </c>
      <c r="I81" s="279">
        <v>80978</v>
      </c>
      <c r="J81" s="279">
        <v>22189</v>
      </c>
      <c r="K81" s="279">
        <f t="shared" si="12"/>
        <v>115582</v>
      </c>
      <c r="L81" s="280">
        <v>8.3000000000000004E-2</v>
      </c>
      <c r="M81" s="280">
        <v>0.20499999999999999</v>
      </c>
      <c r="N81" s="281">
        <v>0.16900000000000001</v>
      </c>
      <c r="O81" s="282">
        <f t="shared" si="13"/>
        <v>404.625</v>
      </c>
      <c r="P81" s="283">
        <f t="shared" si="14"/>
        <v>2378.5309999999999</v>
      </c>
      <c r="Q81" s="275">
        <f t="shared" si="15"/>
        <v>161.767</v>
      </c>
      <c r="R81" s="283">
        <f t="shared" si="16"/>
        <v>819.58999999999992</v>
      </c>
      <c r="S81" s="275">
        <f t="shared" si="17"/>
        <v>981.35699999999997</v>
      </c>
      <c r="T81" s="283">
        <f t="shared" si="11"/>
        <v>16600.489999999998</v>
      </c>
      <c r="U81" s="283">
        <f t="shared" si="18"/>
        <v>17581.846999999998</v>
      </c>
      <c r="V81" s="283">
        <f t="shared" si="19"/>
        <v>19960.377999999997</v>
      </c>
    </row>
    <row r="82" spans="1:22" ht="24.95" customHeight="1">
      <c r="A82" s="284" t="s">
        <v>122</v>
      </c>
      <c r="B82" s="285" t="s">
        <v>21</v>
      </c>
      <c r="C82" s="286" t="s">
        <v>289</v>
      </c>
      <c r="D82" s="279">
        <v>46253</v>
      </c>
      <c r="E82" s="279">
        <v>1690</v>
      </c>
      <c r="F82" s="279">
        <v>9365</v>
      </c>
      <c r="G82" s="279">
        <v>681</v>
      </c>
      <c r="H82" s="279">
        <v>1451</v>
      </c>
      <c r="I82" s="279">
        <v>25905</v>
      </c>
      <c r="J82" s="279">
        <v>7161</v>
      </c>
      <c r="K82" s="279">
        <f t="shared" si="12"/>
        <v>37402</v>
      </c>
      <c r="L82" s="280">
        <v>8.5999999999999993E-2</v>
      </c>
      <c r="M82" s="280">
        <v>0.22800000000000001</v>
      </c>
      <c r="N82" s="281">
        <v>0.186</v>
      </c>
      <c r="O82" s="282">
        <f t="shared" si="13"/>
        <v>145.33999999999997</v>
      </c>
      <c r="P82" s="283">
        <f t="shared" si="14"/>
        <v>805.39</v>
      </c>
      <c r="Q82" s="275">
        <f t="shared" si="15"/>
        <v>58.565999999999995</v>
      </c>
      <c r="R82" s="283">
        <f t="shared" si="16"/>
        <v>330.82800000000003</v>
      </c>
      <c r="S82" s="275">
        <f t="shared" si="17"/>
        <v>389.39400000000001</v>
      </c>
      <c r="T82" s="283">
        <f t="shared" si="11"/>
        <v>5906.34</v>
      </c>
      <c r="U82" s="283">
        <f t="shared" si="18"/>
        <v>6295.7340000000004</v>
      </c>
      <c r="V82" s="283">
        <f t="shared" si="19"/>
        <v>7101.1240000000007</v>
      </c>
    </row>
    <row r="83" spans="1:22" ht="24.95" customHeight="1">
      <c r="A83" s="284" t="s">
        <v>100</v>
      </c>
      <c r="B83" s="285" t="s">
        <v>18</v>
      </c>
      <c r="C83" s="286" t="s">
        <v>289</v>
      </c>
      <c r="D83" s="279">
        <v>134553</v>
      </c>
      <c r="E83" s="279">
        <v>5555</v>
      </c>
      <c r="F83" s="279">
        <v>29084</v>
      </c>
      <c r="G83" s="279">
        <v>2413</v>
      </c>
      <c r="H83" s="279">
        <v>4983</v>
      </c>
      <c r="I83" s="279">
        <v>75522</v>
      </c>
      <c r="J83" s="279">
        <v>16996</v>
      </c>
      <c r="K83" s="279">
        <f t="shared" si="12"/>
        <v>112002</v>
      </c>
      <c r="L83" s="280">
        <v>9.8000000000000004E-2</v>
      </c>
      <c r="M83" s="280">
        <v>0.254</v>
      </c>
      <c r="N83" s="281">
        <v>0.20300000000000001</v>
      </c>
      <c r="O83" s="282">
        <f t="shared" si="13"/>
        <v>544.39</v>
      </c>
      <c r="P83" s="283">
        <f t="shared" si="14"/>
        <v>2850.232</v>
      </c>
      <c r="Q83" s="275">
        <f t="shared" si="15"/>
        <v>236.47400000000002</v>
      </c>
      <c r="R83" s="283">
        <f t="shared" si="16"/>
        <v>1265.682</v>
      </c>
      <c r="S83" s="275">
        <f t="shared" si="17"/>
        <v>1502.1559999999999</v>
      </c>
      <c r="T83" s="283">
        <f t="shared" si="11"/>
        <v>19182.588</v>
      </c>
      <c r="U83" s="283">
        <f t="shared" si="18"/>
        <v>20684.743999999999</v>
      </c>
      <c r="V83" s="283">
        <f t="shared" si="19"/>
        <v>23534.975999999999</v>
      </c>
    </row>
    <row r="84" spans="1:22" ht="24.95" customHeight="1">
      <c r="A84" s="284" t="s">
        <v>67</v>
      </c>
      <c r="B84" s="285" t="s">
        <v>15</v>
      </c>
      <c r="C84" s="286" t="s">
        <v>289</v>
      </c>
      <c r="D84" s="279">
        <v>92494</v>
      </c>
      <c r="E84" s="279">
        <v>2761</v>
      </c>
      <c r="F84" s="279">
        <v>16778</v>
      </c>
      <c r="G84" s="279">
        <v>1178</v>
      </c>
      <c r="H84" s="279">
        <v>2274</v>
      </c>
      <c r="I84" s="279">
        <v>53113</v>
      </c>
      <c r="J84" s="279">
        <v>16390</v>
      </c>
      <c r="K84" s="279">
        <f t="shared" si="12"/>
        <v>73343</v>
      </c>
      <c r="L84" s="280">
        <v>0.08</v>
      </c>
      <c r="M84" s="280">
        <v>0.20300000000000001</v>
      </c>
      <c r="N84" s="281">
        <v>0.17</v>
      </c>
      <c r="O84" s="282">
        <f t="shared" si="13"/>
        <v>220.88</v>
      </c>
      <c r="P84" s="283">
        <f t="shared" si="14"/>
        <v>1342.24</v>
      </c>
      <c r="Q84" s="275">
        <f t="shared" si="15"/>
        <v>94.24</v>
      </c>
      <c r="R84" s="283">
        <f t="shared" si="16"/>
        <v>461.62200000000001</v>
      </c>
      <c r="S84" s="275">
        <f t="shared" si="17"/>
        <v>555.86199999999997</v>
      </c>
      <c r="T84" s="283">
        <f t="shared" si="11"/>
        <v>10781.939</v>
      </c>
      <c r="U84" s="283">
        <f t="shared" si="18"/>
        <v>11337.800999999999</v>
      </c>
      <c r="V84" s="283">
        <f t="shared" si="19"/>
        <v>12680.040999999999</v>
      </c>
    </row>
    <row r="85" spans="1:22" ht="24.95" customHeight="1">
      <c r="A85" s="284" t="s">
        <v>60</v>
      </c>
      <c r="B85" s="285" t="s">
        <v>14</v>
      </c>
      <c r="C85" s="286" t="s">
        <v>288</v>
      </c>
      <c r="D85" s="279">
        <v>138251</v>
      </c>
      <c r="E85" s="279">
        <v>4650</v>
      </c>
      <c r="F85" s="279">
        <v>27084</v>
      </c>
      <c r="G85" s="279">
        <v>1853</v>
      </c>
      <c r="H85" s="279">
        <v>3922</v>
      </c>
      <c r="I85" s="279">
        <v>79282</v>
      </c>
      <c r="J85" s="279">
        <v>21460</v>
      </c>
      <c r="K85" s="279">
        <f t="shared" si="12"/>
        <v>112141</v>
      </c>
      <c r="L85" s="280">
        <v>8.2000000000000003E-2</v>
      </c>
      <c r="M85" s="280">
        <v>0.20799999999999999</v>
      </c>
      <c r="N85" s="281">
        <v>0.17199999999999999</v>
      </c>
      <c r="O85" s="282">
        <f t="shared" si="13"/>
        <v>381.3</v>
      </c>
      <c r="P85" s="283">
        <f t="shared" si="14"/>
        <v>2220.8879999999999</v>
      </c>
      <c r="Q85" s="275">
        <f t="shared" si="15"/>
        <v>151.946</v>
      </c>
      <c r="R85" s="283">
        <f t="shared" si="16"/>
        <v>815.77599999999995</v>
      </c>
      <c r="S85" s="275">
        <f t="shared" si="17"/>
        <v>967.72199999999998</v>
      </c>
      <c r="T85" s="283">
        <f t="shared" si="11"/>
        <v>16490.655999999999</v>
      </c>
      <c r="U85" s="283">
        <f t="shared" si="18"/>
        <v>17458.378000000001</v>
      </c>
      <c r="V85" s="283">
        <f t="shared" si="19"/>
        <v>19679.266</v>
      </c>
    </row>
    <row r="86" spans="1:22" ht="24.95" customHeight="1">
      <c r="A86" s="284" t="s">
        <v>140</v>
      </c>
      <c r="B86" s="285" t="s">
        <v>295</v>
      </c>
      <c r="C86" s="286" t="s">
        <v>289</v>
      </c>
      <c r="D86" s="279">
        <v>68892</v>
      </c>
      <c r="E86" s="279">
        <v>2118</v>
      </c>
      <c r="F86" s="279">
        <v>12643</v>
      </c>
      <c r="G86" s="279">
        <v>924</v>
      </c>
      <c r="H86" s="279">
        <v>1555</v>
      </c>
      <c r="I86" s="279">
        <v>38547</v>
      </c>
      <c r="J86" s="279">
        <v>13105</v>
      </c>
      <c r="K86" s="279">
        <f t="shared" si="12"/>
        <v>53669</v>
      </c>
      <c r="L86" s="280">
        <v>7.9000000000000001E-2</v>
      </c>
      <c r="M86" s="280">
        <v>0.20200000000000001</v>
      </c>
      <c r="N86" s="281">
        <v>0.16800000000000001</v>
      </c>
      <c r="O86" s="282">
        <f t="shared" si="13"/>
        <v>167.322</v>
      </c>
      <c r="P86" s="283">
        <f t="shared" si="14"/>
        <v>998.79700000000003</v>
      </c>
      <c r="Q86" s="275">
        <f t="shared" si="15"/>
        <v>72.995999999999995</v>
      </c>
      <c r="R86" s="283">
        <f t="shared" si="16"/>
        <v>314.11</v>
      </c>
      <c r="S86" s="275">
        <f t="shared" si="17"/>
        <v>387.10599999999999</v>
      </c>
      <c r="T86" s="283">
        <f t="shared" si="11"/>
        <v>7786.4940000000006</v>
      </c>
      <c r="U86" s="283">
        <f t="shared" si="18"/>
        <v>8173.6</v>
      </c>
      <c r="V86" s="283">
        <f t="shared" si="19"/>
        <v>9172.3970000000008</v>
      </c>
    </row>
    <row r="87" spans="1:22" ht="24.95" customHeight="1">
      <c r="A87" s="284" t="s">
        <v>101</v>
      </c>
      <c r="B87" s="285" t="s">
        <v>18</v>
      </c>
      <c r="C87" s="286" t="s">
        <v>289</v>
      </c>
      <c r="D87" s="279">
        <v>64673</v>
      </c>
      <c r="E87" s="279">
        <v>2542</v>
      </c>
      <c r="F87" s="279">
        <v>13583</v>
      </c>
      <c r="G87" s="279">
        <v>896</v>
      </c>
      <c r="H87" s="279">
        <v>1870</v>
      </c>
      <c r="I87" s="279">
        <v>35806</v>
      </c>
      <c r="J87" s="279">
        <v>9976</v>
      </c>
      <c r="K87" s="279">
        <f t="shared" si="12"/>
        <v>52155</v>
      </c>
      <c r="L87" s="280">
        <v>9.6000000000000002E-2</v>
      </c>
      <c r="M87" s="280">
        <v>0.26</v>
      </c>
      <c r="N87" s="281">
        <v>0.21</v>
      </c>
      <c r="O87" s="282">
        <f t="shared" si="13"/>
        <v>244.03200000000001</v>
      </c>
      <c r="P87" s="283">
        <f t="shared" si="14"/>
        <v>1303.9680000000001</v>
      </c>
      <c r="Q87" s="275">
        <f t="shared" si="15"/>
        <v>86.016000000000005</v>
      </c>
      <c r="R87" s="283">
        <f t="shared" si="16"/>
        <v>486.2</v>
      </c>
      <c r="S87" s="275">
        <f t="shared" si="17"/>
        <v>572.21600000000001</v>
      </c>
      <c r="T87" s="283">
        <f t="shared" si="11"/>
        <v>9309.56</v>
      </c>
      <c r="U87" s="283">
        <f t="shared" si="18"/>
        <v>9881.7759999999998</v>
      </c>
      <c r="V87" s="283">
        <f t="shared" si="19"/>
        <v>11185.744000000001</v>
      </c>
    </row>
    <row r="88" spans="1:22" ht="24.95" customHeight="1">
      <c r="A88" s="284" t="s">
        <v>102</v>
      </c>
      <c r="B88" s="285" t="s">
        <v>18</v>
      </c>
      <c r="C88" s="286" t="s">
        <v>289</v>
      </c>
      <c r="D88" s="279">
        <v>36192</v>
      </c>
      <c r="E88" s="279">
        <v>1376</v>
      </c>
      <c r="F88" s="279">
        <v>7404</v>
      </c>
      <c r="G88" s="279">
        <v>500</v>
      </c>
      <c r="H88" s="279">
        <v>990</v>
      </c>
      <c r="I88" s="279">
        <v>20495</v>
      </c>
      <c r="J88" s="279">
        <v>5427</v>
      </c>
      <c r="K88" s="279">
        <f t="shared" si="12"/>
        <v>29389</v>
      </c>
      <c r="L88" s="280">
        <v>8.5000000000000006E-2</v>
      </c>
      <c r="M88" s="280">
        <v>0.217</v>
      </c>
      <c r="N88" s="281">
        <v>0.17699999999999999</v>
      </c>
      <c r="O88" s="282">
        <f t="shared" si="13"/>
        <v>116.96000000000001</v>
      </c>
      <c r="P88" s="283">
        <f t="shared" si="14"/>
        <v>629.34</v>
      </c>
      <c r="Q88" s="275">
        <f t="shared" si="15"/>
        <v>42.5</v>
      </c>
      <c r="R88" s="283">
        <f t="shared" si="16"/>
        <v>214.83</v>
      </c>
      <c r="S88" s="275">
        <f t="shared" si="17"/>
        <v>257.33000000000004</v>
      </c>
      <c r="T88" s="283">
        <f t="shared" si="11"/>
        <v>4447.415</v>
      </c>
      <c r="U88" s="283">
        <f t="shared" si="18"/>
        <v>4704.7449999999999</v>
      </c>
      <c r="V88" s="283">
        <f t="shared" si="19"/>
        <v>5334.085</v>
      </c>
    </row>
    <row r="89" spans="1:22" ht="24.95" customHeight="1">
      <c r="A89" s="284" t="s">
        <v>61</v>
      </c>
      <c r="B89" s="285" t="s">
        <v>14</v>
      </c>
      <c r="C89" s="286" t="s">
        <v>289</v>
      </c>
      <c r="D89" s="279">
        <v>60403</v>
      </c>
      <c r="E89" s="279">
        <v>1925</v>
      </c>
      <c r="F89" s="279">
        <v>11202</v>
      </c>
      <c r="G89" s="279">
        <v>815</v>
      </c>
      <c r="H89" s="279">
        <v>1646</v>
      </c>
      <c r="I89" s="279">
        <v>34578</v>
      </c>
      <c r="J89" s="279">
        <v>10237</v>
      </c>
      <c r="K89" s="279">
        <f t="shared" si="12"/>
        <v>48241</v>
      </c>
      <c r="L89" s="280">
        <v>7.4999999999999997E-2</v>
      </c>
      <c r="M89" s="280">
        <v>0.189</v>
      </c>
      <c r="N89" s="281">
        <v>0.156</v>
      </c>
      <c r="O89" s="282">
        <f t="shared" si="13"/>
        <v>144.375</v>
      </c>
      <c r="P89" s="283">
        <f t="shared" si="14"/>
        <v>840.15</v>
      </c>
      <c r="Q89" s="275">
        <f t="shared" si="15"/>
        <v>61.125</v>
      </c>
      <c r="R89" s="283">
        <f t="shared" si="16"/>
        <v>311.09399999999999</v>
      </c>
      <c r="S89" s="275">
        <f t="shared" si="17"/>
        <v>372.21899999999999</v>
      </c>
      <c r="T89" s="283">
        <f t="shared" si="11"/>
        <v>6535.2420000000002</v>
      </c>
      <c r="U89" s="283">
        <f t="shared" si="18"/>
        <v>6907.4610000000002</v>
      </c>
      <c r="V89" s="283">
        <f t="shared" si="19"/>
        <v>7747.6109999999999</v>
      </c>
    </row>
    <row r="90" spans="1:22" ht="24.95" customHeight="1">
      <c r="A90" s="284" t="s">
        <v>68</v>
      </c>
      <c r="B90" s="285" t="s">
        <v>15</v>
      </c>
      <c r="C90" s="286" t="s">
        <v>289</v>
      </c>
      <c r="D90" s="279">
        <v>46859</v>
      </c>
      <c r="E90" s="279">
        <v>1244</v>
      </c>
      <c r="F90" s="279">
        <v>8358</v>
      </c>
      <c r="G90" s="279">
        <v>521</v>
      </c>
      <c r="H90" s="279">
        <v>1085</v>
      </c>
      <c r="I90" s="279">
        <v>27325</v>
      </c>
      <c r="J90" s="279">
        <v>8326</v>
      </c>
      <c r="K90" s="279">
        <f t="shared" si="12"/>
        <v>37289</v>
      </c>
      <c r="L90" s="280">
        <v>7.0999999999999994E-2</v>
      </c>
      <c r="M90" s="280">
        <v>0.2</v>
      </c>
      <c r="N90" s="281">
        <v>0.16500000000000001</v>
      </c>
      <c r="O90" s="282">
        <f t="shared" si="13"/>
        <v>88.323999999999998</v>
      </c>
      <c r="P90" s="283">
        <f t="shared" si="14"/>
        <v>593.41799999999989</v>
      </c>
      <c r="Q90" s="275">
        <f t="shared" si="15"/>
        <v>36.991</v>
      </c>
      <c r="R90" s="283">
        <f t="shared" si="16"/>
        <v>217</v>
      </c>
      <c r="S90" s="275">
        <f t="shared" si="17"/>
        <v>253.99099999999999</v>
      </c>
      <c r="T90" s="283">
        <f t="shared" si="11"/>
        <v>5465</v>
      </c>
      <c r="U90" s="283">
        <f t="shared" si="18"/>
        <v>5718.991</v>
      </c>
      <c r="V90" s="283">
        <f t="shared" si="19"/>
        <v>6312.4089999999997</v>
      </c>
    </row>
    <row r="91" spans="1:22" ht="24.95" customHeight="1">
      <c r="A91" s="284" t="s">
        <v>112</v>
      </c>
      <c r="B91" s="285" t="s">
        <v>20</v>
      </c>
      <c r="C91" s="286" t="s">
        <v>289</v>
      </c>
      <c r="D91" s="279">
        <v>73898</v>
      </c>
      <c r="E91" s="279">
        <v>2367</v>
      </c>
      <c r="F91" s="279">
        <v>14173</v>
      </c>
      <c r="G91" s="279">
        <v>1045</v>
      </c>
      <c r="H91" s="279">
        <v>2053</v>
      </c>
      <c r="I91" s="279">
        <v>41049</v>
      </c>
      <c r="J91" s="279">
        <v>13211</v>
      </c>
      <c r="K91" s="279">
        <f t="shared" si="12"/>
        <v>58320</v>
      </c>
      <c r="L91" s="280">
        <v>8.4000000000000005E-2</v>
      </c>
      <c r="M91" s="280">
        <v>0.19700000000000001</v>
      </c>
      <c r="N91" s="281">
        <v>0.16500000000000001</v>
      </c>
      <c r="O91" s="282">
        <f t="shared" si="13"/>
        <v>198.828</v>
      </c>
      <c r="P91" s="283">
        <f t="shared" si="14"/>
        <v>1190.5320000000002</v>
      </c>
      <c r="Q91" s="275">
        <f t="shared" si="15"/>
        <v>87.78</v>
      </c>
      <c r="R91" s="283">
        <f t="shared" si="16"/>
        <v>404.44100000000003</v>
      </c>
      <c r="S91" s="275">
        <f t="shared" si="17"/>
        <v>492.221</v>
      </c>
      <c r="T91" s="283">
        <f t="shared" si="11"/>
        <v>8086.6530000000002</v>
      </c>
      <c r="U91" s="283">
        <f t="shared" si="18"/>
        <v>8578.8739999999998</v>
      </c>
      <c r="V91" s="283">
        <f t="shared" si="19"/>
        <v>9769.405999999999</v>
      </c>
    </row>
    <row r="92" spans="1:22" ht="24.95" customHeight="1">
      <c r="A92" s="284" t="s">
        <v>141</v>
      </c>
      <c r="B92" s="285" t="s">
        <v>295</v>
      </c>
      <c r="C92" s="286" t="s">
        <v>289</v>
      </c>
      <c r="D92" s="279">
        <v>14652</v>
      </c>
      <c r="E92" s="279">
        <v>599</v>
      </c>
      <c r="F92" s="279">
        <v>2829</v>
      </c>
      <c r="G92" s="279">
        <v>172</v>
      </c>
      <c r="H92" s="279">
        <v>326</v>
      </c>
      <c r="I92" s="279">
        <v>8129</v>
      </c>
      <c r="J92" s="279">
        <v>2597</v>
      </c>
      <c r="K92" s="279">
        <f t="shared" si="12"/>
        <v>11456</v>
      </c>
      <c r="L92" s="280">
        <v>9.4E-2</v>
      </c>
      <c r="M92" s="280">
        <v>0.218</v>
      </c>
      <c r="N92" s="281">
        <v>0.18099999999999999</v>
      </c>
      <c r="O92" s="282">
        <f t="shared" si="13"/>
        <v>56.305999999999997</v>
      </c>
      <c r="P92" s="283">
        <f t="shared" si="14"/>
        <v>265.92599999999999</v>
      </c>
      <c r="Q92" s="275">
        <f t="shared" si="15"/>
        <v>16.167999999999999</v>
      </c>
      <c r="R92" s="283">
        <f t="shared" si="16"/>
        <v>71.067999999999998</v>
      </c>
      <c r="S92" s="275">
        <f t="shared" si="17"/>
        <v>87.23599999999999</v>
      </c>
      <c r="T92" s="283">
        <f t="shared" si="11"/>
        <v>1772.1220000000001</v>
      </c>
      <c r="U92" s="283">
        <f t="shared" si="18"/>
        <v>1859.3580000000002</v>
      </c>
      <c r="V92" s="283">
        <f t="shared" si="19"/>
        <v>2125.2840000000001</v>
      </c>
    </row>
    <row r="93" spans="1:22" ht="24.95" customHeight="1">
      <c r="A93" s="284" t="s">
        <v>142</v>
      </c>
      <c r="B93" s="285" t="s">
        <v>295</v>
      </c>
      <c r="C93" s="286" t="s">
        <v>289</v>
      </c>
      <c r="D93" s="279">
        <v>32971</v>
      </c>
      <c r="E93" s="279">
        <v>794</v>
      </c>
      <c r="F93" s="279">
        <v>4881</v>
      </c>
      <c r="G93" s="279">
        <v>429</v>
      </c>
      <c r="H93" s="279">
        <v>795</v>
      </c>
      <c r="I93" s="279">
        <v>16724</v>
      </c>
      <c r="J93" s="279">
        <v>9348</v>
      </c>
      <c r="K93" s="279">
        <f t="shared" si="12"/>
        <v>22829</v>
      </c>
      <c r="L93" s="280">
        <v>7.6999999999999999E-2</v>
      </c>
      <c r="M93" s="280">
        <v>0.185</v>
      </c>
      <c r="N93" s="281">
        <v>0.157</v>
      </c>
      <c r="O93" s="282">
        <f t="shared" si="13"/>
        <v>61.137999999999998</v>
      </c>
      <c r="P93" s="283">
        <f t="shared" si="14"/>
        <v>375.83699999999999</v>
      </c>
      <c r="Q93" s="275">
        <f t="shared" si="15"/>
        <v>33.033000000000001</v>
      </c>
      <c r="R93" s="283">
        <f t="shared" si="16"/>
        <v>147.07499999999999</v>
      </c>
      <c r="S93" s="275">
        <f t="shared" si="17"/>
        <v>180.108</v>
      </c>
      <c r="T93" s="283">
        <f t="shared" si="11"/>
        <v>3093.94</v>
      </c>
      <c r="U93" s="283">
        <f t="shared" si="18"/>
        <v>3274.0480000000002</v>
      </c>
      <c r="V93" s="283">
        <f t="shared" si="19"/>
        <v>3649.8850000000002</v>
      </c>
    </row>
    <row r="94" spans="1:22" ht="24.95" customHeight="1">
      <c r="A94" s="284" t="s">
        <v>91</v>
      </c>
      <c r="B94" s="285" t="s">
        <v>17</v>
      </c>
      <c r="C94" s="286" t="s">
        <v>289</v>
      </c>
      <c r="D94" s="279">
        <v>4157</v>
      </c>
      <c r="E94" s="279">
        <v>126</v>
      </c>
      <c r="F94" s="279">
        <v>609</v>
      </c>
      <c r="G94" s="279">
        <v>32</v>
      </c>
      <c r="H94" s="279">
        <v>91</v>
      </c>
      <c r="I94" s="279">
        <v>2534</v>
      </c>
      <c r="J94" s="279">
        <v>765</v>
      </c>
      <c r="K94" s="279">
        <f t="shared" si="12"/>
        <v>3266</v>
      </c>
      <c r="L94" s="280">
        <v>0.09</v>
      </c>
      <c r="M94" s="280">
        <v>0.26600000000000001</v>
      </c>
      <c r="N94" s="281">
        <v>0.22500000000000001</v>
      </c>
      <c r="O94" s="282">
        <f t="shared" si="13"/>
        <v>11.34</v>
      </c>
      <c r="P94" s="283">
        <f t="shared" si="14"/>
        <v>54.809999999999995</v>
      </c>
      <c r="Q94" s="275">
        <f t="shared" si="15"/>
        <v>2.88</v>
      </c>
      <c r="R94" s="283">
        <f t="shared" si="16"/>
        <v>24.206000000000003</v>
      </c>
      <c r="S94" s="275">
        <f t="shared" si="17"/>
        <v>27.086000000000002</v>
      </c>
      <c r="T94" s="283">
        <f t="shared" si="11"/>
        <v>674.04399999999998</v>
      </c>
      <c r="U94" s="283">
        <f t="shared" si="18"/>
        <v>701.13</v>
      </c>
      <c r="V94" s="283">
        <f t="shared" si="19"/>
        <v>755.93999999999994</v>
      </c>
    </row>
    <row r="95" spans="1:22" ht="24.95" customHeight="1">
      <c r="A95" s="284" t="s">
        <v>62</v>
      </c>
      <c r="B95" s="285" t="s">
        <v>14</v>
      </c>
      <c r="C95" s="286" t="s">
        <v>289</v>
      </c>
      <c r="D95" s="279">
        <v>210410</v>
      </c>
      <c r="E95" s="279">
        <v>7574</v>
      </c>
      <c r="F95" s="279">
        <v>51984</v>
      </c>
      <c r="G95" s="279">
        <v>3492</v>
      </c>
      <c r="H95" s="279">
        <v>5268</v>
      </c>
      <c r="I95" s="279">
        <v>119020</v>
      </c>
      <c r="J95" s="279">
        <v>23072</v>
      </c>
      <c r="K95" s="279">
        <f t="shared" si="12"/>
        <v>179764</v>
      </c>
      <c r="L95" s="280">
        <v>7.6999999999999999E-2</v>
      </c>
      <c r="M95" s="280">
        <v>0.21299999999999999</v>
      </c>
      <c r="N95" s="281">
        <v>0.16600000000000001</v>
      </c>
      <c r="O95" s="282">
        <f t="shared" si="13"/>
        <v>583.19799999999998</v>
      </c>
      <c r="P95" s="283">
        <f t="shared" si="14"/>
        <v>4002.768</v>
      </c>
      <c r="Q95" s="275">
        <f t="shared" si="15"/>
        <v>268.88400000000001</v>
      </c>
      <c r="R95" s="283">
        <f t="shared" si="16"/>
        <v>1122.0840000000001</v>
      </c>
      <c r="S95" s="275">
        <f t="shared" si="17"/>
        <v>1390.9680000000001</v>
      </c>
      <c r="T95" s="283">
        <f t="shared" si="11"/>
        <v>25351.26</v>
      </c>
      <c r="U95" s="283">
        <f t="shared" si="18"/>
        <v>26742.227999999999</v>
      </c>
      <c r="V95" s="283">
        <f t="shared" si="19"/>
        <v>30744.995999999999</v>
      </c>
    </row>
    <row r="96" spans="1:22" ht="24.95" customHeight="1">
      <c r="A96" s="284" t="s">
        <v>63</v>
      </c>
      <c r="B96" s="285" t="s">
        <v>14</v>
      </c>
      <c r="C96" s="286" t="s">
        <v>289</v>
      </c>
      <c r="D96" s="279">
        <v>45565</v>
      </c>
      <c r="E96" s="279">
        <v>1761</v>
      </c>
      <c r="F96" s="279">
        <v>9354</v>
      </c>
      <c r="G96" s="279">
        <v>604</v>
      </c>
      <c r="H96" s="279">
        <v>1419</v>
      </c>
      <c r="I96" s="279">
        <v>25321</v>
      </c>
      <c r="J96" s="279">
        <v>7106</v>
      </c>
      <c r="K96" s="279">
        <f t="shared" si="12"/>
        <v>36698</v>
      </c>
      <c r="L96" s="280">
        <v>9.0999999999999998E-2</v>
      </c>
      <c r="M96" s="280">
        <v>0.23200000000000001</v>
      </c>
      <c r="N96" s="281">
        <v>0.188</v>
      </c>
      <c r="O96" s="282">
        <f t="shared" si="13"/>
        <v>160.251</v>
      </c>
      <c r="P96" s="283">
        <f t="shared" si="14"/>
        <v>851.21399999999994</v>
      </c>
      <c r="Q96" s="275">
        <f t="shared" si="15"/>
        <v>54.963999999999999</v>
      </c>
      <c r="R96" s="283">
        <f t="shared" si="16"/>
        <v>329.20800000000003</v>
      </c>
      <c r="S96" s="275">
        <f t="shared" si="17"/>
        <v>384.17200000000003</v>
      </c>
      <c r="T96" s="283">
        <f t="shared" si="11"/>
        <v>5874.4720000000007</v>
      </c>
      <c r="U96" s="283">
        <f t="shared" si="18"/>
        <v>6258.6440000000002</v>
      </c>
      <c r="V96" s="283">
        <f t="shared" si="19"/>
        <v>7109.8580000000002</v>
      </c>
    </row>
    <row r="97" spans="1:22" ht="24.95" customHeight="1">
      <c r="A97" s="284" t="s">
        <v>49</v>
      </c>
      <c r="B97" s="285" t="s">
        <v>13</v>
      </c>
      <c r="C97" s="286" t="s">
        <v>288</v>
      </c>
      <c r="D97" s="279">
        <v>966424</v>
      </c>
      <c r="E97" s="279">
        <v>38262</v>
      </c>
      <c r="F97" s="279">
        <v>205774</v>
      </c>
      <c r="G97" s="279">
        <v>12977</v>
      </c>
      <c r="H97" s="279">
        <v>25467</v>
      </c>
      <c r="I97" s="279">
        <v>590105</v>
      </c>
      <c r="J97" s="279">
        <v>93839</v>
      </c>
      <c r="K97" s="279">
        <f t="shared" si="12"/>
        <v>834323</v>
      </c>
      <c r="L97" s="280">
        <v>8.1000000000000003E-2</v>
      </c>
      <c r="M97" s="280">
        <v>0.19700000000000001</v>
      </c>
      <c r="N97" s="281">
        <v>0.16200000000000001</v>
      </c>
      <c r="O97" s="282">
        <f t="shared" si="13"/>
        <v>3099.2220000000002</v>
      </c>
      <c r="P97" s="283">
        <f t="shared" si="14"/>
        <v>16667.694</v>
      </c>
      <c r="Q97" s="275">
        <f t="shared" si="15"/>
        <v>1051.1369999999999</v>
      </c>
      <c r="R97" s="283">
        <f t="shared" si="16"/>
        <v>5016.9989999999998</v>
      </c>
      <c r="S97" s="275">
        <f t="shared" si="17"/>
        <v>6068.1359999999995</v>
      </c>
      <c r="T97" s="283">
        <f t="shared" si="11"/>
        <v>116250.68500000001</v>
      </c>
      <c r="U97" s="283">
        <f t="shared" si="18"/>
        <v>122318.82100000001</v>
      </c>
      <c r="V97" s="283">
        <f t="shared" si="19"/>
        <v>138986.51500000001</v>
      </c>
    </row>
    <row r="98" spans="1:22" ht="24.95" customHeight="1">
      <c r="A98" s="276" t="s">
        <v>64</v>
      </c>
      <c r="B98" s="277" t="s">
        <v>14</v>
      </c>
      <c r="C98" s="278" t="s">
        <v>289</v>
      </c>
      <c r="D98" s="279">
        <v>20668</v>
      </c>
      <c r="E98" s="279">
        <v>544</v>
      </c>
      <c r="F98" s="279">
        <v>3400</v>
      </c>
      <c r="G98" s="279">
        <v>231</v>
      </c>
      <c r="H98" s="279">
        <v>460</v>
      </c>
      <c r="I98" s="279">
        <v>11674</v>
      </c>
      <c r="J98" s="279">
        <v>4359</v>
      </c>
      <c r="K98" s="279">
        <f t="shared" si="12"/>
        <v>15765</v>
      </c>
      <c r="L98" s="280">
        <v>8.8999999999999996E-2</v>
      </c>
      <c r="M98" s="280">
        <v>0.252</v>
      </c>
      <c r="N98" s="281">
        <v>0.20899999999999999</v>
      </c>
      <c r="O98" s="282">
        <f t="shared" si="13"/>
        <v>48.415999999999997</v>
      </c>
      <c r="P98" s="283">
        <f t="shared" si="14"/>
        <v>302.59999999999997</v>
      </c>
      <c r="Q98" s="275">
        <f t="shared" si="15"/>
        <v>20.558999999999997</v>
      </c>
      <c r="R98" s="283">
        <f t="shared" si="16"/>
        <v>115.92</v>
      </c>
      <c r="S98" s="275">
        <f t="shared" si="17"/>
        <v>136.47899999999998</v>
      </c>
      <c r="T98" s="283">
        <f t="shared" si="11"/>
        <v>2941.848</v>
      </c>
      <c r="U98" s="283">
        <f t="shared" si="18"/>
        <v>3078.3269999999998</v>
      </c>
      <c r="V98" s="283">
        <f t="shared" si="19"/>
        <v>3380.9269999999997</v>
      </c>
    </row>
    <row r="99" spans="1:22" ht="24.95" customHeight="1">
      <c r="A99" s="276" t="s">
        <v>92</v>
      </c>
      <c r="B99" s="277" t="s">
        <v>17</v>
      </c>
      <c r="C99" s="278" t="s">
        <v>289</v>
      </c>
      <c r="D99" s="279">
        <v>12914</v>
      </c>
      <c r="E99" s="279">
        <v>403</v>
      </c>
      <c r="F99" s="279">
        <v>2461</v>
      </c>
      <c r="G99" s="279">
        <v>124</v>
      </c>
      <c r="H99" s="279">
        <v>274</v>
      </c>
      <c r="I99" s="279">
        <v>7060</v>
      </c>
      <c r="J99" s="279">
        <v>2592</v>
      </c>
      <c r="K99" s="279">
        <f t="shared" si="12"/>
        <v>9919</v>
      </c>
      <c r="L99" s="280">
        <v>8.7999999999999995E-2</v>
      </c>
      <c r="M99" s="280">
        <v>0.221</v>
      </c>
      <c r="N99" s="281">
        <v>0.183</v>
      </c>
      <c r="O99" s="282">
        <f t="shared" si="13"/>
        <v>35.463999999999999</v>
      </c>
      <c r="P99" s="283">
        <f t="shared" si="14"/>
        <v>216.56799999999998</v>
      </c>
      <c r="Q99" s="275">
        <f t="shared" si="15"/>
        <v>10.911999999999999</v>
      </c>
      <c r="R99" s="283">
        <f t="shared" si="16"/>
        <v>60.554000000000002</v>
      </c>
      <c r="S99" s="275">
        <f t="shared" si="17"/>
        <v>71.466000000000008</v>
      </c>
      <c r="T99" s="283">
        <f t="shared" si="11"/>
        <v>1560.26</v>
      </c>
      <c r="U99" s="283">
        <f t="shared" si="18"/>
        <v>1631.7260000000001</v>
      </c>
      <c r="V99" s="283">
        <f t="shared" si="19"/>
        <v>1848.2940000000001</v>
      </c>
    </row>
    <row r="100" spans="1:22" ht="24.95" customHeight="1">
      <c r="A100" s="276" t="s">
        <v>143</v>
      </c>
      <c r="B100" s="277" t="s">
        <v>295</v>
      </c>
      <c r="C100" s="278" t="s">
        <v>289</v>
      </c>
      <c r="D100" s="279">
        <v>52953</v>
      </c>
      <c r="E100" s="279">
        <v>1055</v>
      </c>
      <c r="F100" s="279">
        <v>5933</v>
      </c>
      <c r="G100" s="279">
        <v>1798</v>
      </c>
      <c r="H100" s="279">
        <v>6765</v>
      </c>
      <c r="I100" s="279">
        <v>30052</v>
      </c>
      <c r="J100" s="279">
        <v>7350</v>
      </c>
      <c r="K100" s="279">
        <f t="shared" si="12"/>
        <v>44548</v>
      </c>
      <c r="L100" s="280">
        <v>8.1000000000000003E-2</v>
      </c>
      <c r="M100" s="280">
        <v>0.218</v>
      </c>
      <c r="N100" s="281">
        <v>0.186</v>
      </c>
      <c r="O100" s="282">
        <f t="shared" si="13"/>
        <v>85.454999999999998</v>
      </c>
      <c r="P100" s="283">
        <f t="shared" si="14"/>
        <v>480.57300000000004</v>
      </c>
      <c r="Q100" s="275">
        <f t="shared" si="15"/>
        <v>145.63800000000001</v>
      </c>
      <c r="R100" s="283">
        <f t="shared" si="16"/>
        <v>1474.77</v>
      </c>
      <c r="S100" s="275">
        <f t="shared" si="17"/>
        <v>1620.4079999999999</v>
      </c>
      <c r="T100" s="283">
        <f t="shared" si="11"/>
        <v>6551.3360000000002</v>
      </c>
      <c r="U100" s="283">
        <f t="shared" si="18"/>
        <v>8171.7440000000006</v>
      </c>
      <c r="V100" s="283">
        <f t="shared" si="19"/>
        <v>8652.3170000000009</v>
      </c>
    </row>
    <row r="101" spans="1:22" ht="24.95" customHeight="1">
      <c r="A101" s="276" t="s">
        <v>103</v>
      </c>
      <c r="B101" s="277" t="s">
        <v>18</v>
      </c>
      <c r="C101" s="278" t="s">
        <v>289</v>
      </c>
      <c r="D101" s="279">
        <v>126287</v>
      </c>
      <c r="E101" s="279">
        <v>5187</v>
      </c>
      <c r="F101" s="279">
        <v>25668</v>
      </c>
      <c r="G101" s="279">
        <v>1686</v>
      </c>
      <c r="H101" s="279">
        <v>3586</v>
      </c>
      <c r="I101" s="279">
        <v>72406</v>
      </c>
      <c r="J101" s="279">
        <v>17754</v>
      </c>
      <c r="K101" s="279">
        <f t="shared" si="12"/>
        <v>103346</v>
      </c>
      <c r="L101" s="280">
        <v>8.7999999999999995E-2</v>
      </c>
      <c r="M101" s="280">
        <v>0.22600000000000001</v>
      </c>
      <c r="N101" s="281">
        <v>0.185</v>
      </c>
      <c r="O101" s="282">
        <f t="shared" si="13"/>
        <v>456.45599999999996</v>
      </c>
      <c r="P101" s="283">
        <f t="shared" si="14"/>
        <v>2258.7839999999997</v>
      </c>
      <c r="Q101" s="275">
        <f t="shared" si="15"/>
        <v>148.36799999999999</v>
      </c>
      <c r="R101" s="283">
        <f t="shared" si="16"/>
        <v>810.43600000000004</v>
      </c>
      <c r="S101" s="275">
        <f t="shared" si="17"/>
        <v>958.80400000000009</v>
      </c>
      <c r="T101" s="283">
        <f t="shared" si="11"/>
        <v>16363.756000000001</v>
      </c>
      <c r="U101" s="283">
        <f t="shared" si="18"/>
        <v>17322.560000000001</v>
      </c>
      <c r="V101" s="283">
        <f t="shared" si="19"/>
        <v>19581.344000000001</v>
      </c>
    </row>
    <row r="102" spans="1:22" ht="24.95" customHeight="1">
      <c r="A102" s="276" t="s">
        <v>144</v>
      </c>
      <c r="B102" s="277" t="s">
        <v>295</v>
      </c>
      <c r="C102" s="278" t="s">
        <v>289</v>
      </c>
      <c r="D102" s="279">
        <v>70076</v>
      </c>
      <c r="E102" s="279">
        <v>2076</v>
      </c>
      <c r="F102" s="279">
        <v>12920</v>
      </c>
      <c r="G102" s="279">
        <v>877</v>
      </c>
      <c r="H102" s="279">
        <v>1602</v>
      </c>
      <c r="I102" s="279">
        <v>39428</v>
      </c>
      <c r="J102" s="279">
        <v>13173</v>
      </c>
      <c r="K102" s="279">
        <f t="shared" si="12"/>
        <v>54827</v>
      </c>
      <c r="L102" s="280">
        <v>7.6999999999999999E-2</v>
      </c>
      <c r="M102" s="280">
        <v>0.192</v>
      </c>
      <c r="N102" s="281">
        <v>0.16</v>
      </c>
      <c r="O102" s="282">
        <f t="shared" si="13"/>
        <v>159.852</v>
      </c>
      <c r="P102" s="283">
        <f t="shared" si="14"/>
        <v>994.84</v>
      </c>
      <c r="Q102" s="275">
        <f t="shared" si="15"/>
        <v>67.528999999999996</v>
      </c>
      <c r="R102" s="283">
        <f t="shared" si="16"/>
        <v>307.584</v>
      </c>
      <c r="S102" s="275">
        <f t="shared" si="17"/>
        <v>375.113</v>
      </c>
      <c r="T102" s="283">
        <f t="shared" si="11"/>
        <v>7570.1760000000004</v>
      </c>
      <c r="U102" s="283">
        <f t="shared" si="18"/>
        <v>7945.2890000000007</v>
      </c>
      <c r="V102" s="283">
        <f t="shared" si="19"/>
        <v>8940.1290000000008</v>
      </c>
    </row>
    <row r="103" spans="1:22" ht="24.95" customHeight="1">
      <c r="A103" s="276" t="s">
        <v>104</v>
      </c>
      <c r="B103" s="277" t="s">
        <v>18</v>
      </c>
      <c r="C103" s="278" t="s">
        <v>289</v>
      </c>
      <c r="D103" s="279">
        <v>82433</v>
      </c>
      <c r="E103" s="279">
        <v>2969</v>
      </c>
      <c r="F103" s="279">
        <v>16677</v>
      </c>
      <c r="G103" s="279">
        <v>1060</v>
      </c>
      <c r="H103" s="279">
        <v>2150</v>
      </c>
      <c r="I103" s="279">
        <v>46744</v>
      </c>
      <c r="J103" s="279">
        <v>12833</v>
      </c>
      <c r="K103" s="279">
        <f t="shared" si="12"/>
        <v>66631</v>
      </c>
      <c r="L103" s="280">
        <v>0.09</v>
      </c>
      <c r="M103" s="280">
        <v>0.221</v>
      </c>
      <c r="N103" s="281">
        <v>0.18099999999999999</v>
      </c>
      <c r="O103" s="282">
        <f t="shared" si="13"/>
        <v>267.20999999999998</v>
      </c>
      <c r="P103" s="283">
        <f t="shared" si="14"/>
        <v>1500.9299999999998</v>
      </c>
      <c r="Q103" s="275">
        <f t="shared" si="15"/>
        <v>95.399999999999991</v>
      </c>
      <c r="R103" s="283">
        <f t="shared" si="16"/>
        <v>475.15</v>
      </c>
      <c r="S103" s="275">
        <f t="shared" si="17"/>
        <v>570.54999999999995</v>
      </c>
      <c r="T103" s="283">
        <f t="shared" si="11"/>
        <v>10330.424000000001</v>
      </c>
      <c r="U103" s="283">
        <f t="shared" si="18"/>
        <v>10900.974</v>
      </c>
      <c r="V103" s="283">
        <f t="shared" si="19"/>
        <v>12401.904</v>
      </c>
    </row>
    <row r="104" spans="1:22" ht="24.95" customHeight="1">
      <c r="A104" s="276" t="s">
        <v>113</v>
      </c>
      <c r="B104" s="277" t="s">
        <v>20</v>
      </c>
      <c r="C104" s="278" t="s">
        <v>289</v>
      </c>
      <c r="D104" s="279">
        <v>38160</v>
      </c>
      <c r="E104" s="279">
        <v>1234</v>
      </c>
      <c r="F104" s="279">
        <v>7236</v>
      </c>
      <c r="G104" s="279">
        <v>470</v>
      </c>
      <c r="H104" s="279">
        <v>986</v>
      </c>
      <c r="I104" s="279">
        <v>21525</v>
      </c>
      <c r="J104" s="279">
        <v>6709</v>
      </c>
      <c r="K104" s="279">
        <f t="shared" si="12"/>
        <v>30217</v>
      </c>
      <c r="L104" s="280">
        <v>8.3000000000000004E-2</v>
      </c>
      <c r="M104" s="280">
        <v>0.20899999999999999</v>
      </c>
      <c r="N104" s="281">
        <v>0.17299999999999999</v>
      </c>
      <c r="O104" s="282">
        <f t="shared" si="13"/>
        <v>102.42200000000001</v>
      </c>
      <c r="P104" s="283">
        <f t="shared" si="14"/>
        <v>600.58800000000008</v>
      </c>
      <c r="Q104" s="275">
        <f t="shared" si="15"/>
        <v>39.010000000000005</v>
      </c>
      <c r="R104" s="283">
        <f t="shared" si="16"/>
        <v>206.07399999999998</v>
      </c>
      <c r="S104" s="275">
        <f t="shared" si="17"/>
        <v>245.084</v>
      </c>
      <c r="T104" s="283">
        <f t="shared" si="11"/>
        <v>4498.7249999999995</v>
      </c>
      <c r="U104" s="283">
        <f t="shared" si="18"/>
        <v>4743.8089999999993</v>
      </c>
      <c r="V104" s="283">
        <f t="shared" si="19"/>
        <v>5344.396999999999</v>
      </c>
    </row>
    <row r="105" spans="1:22" ht="24.95" customHeight="1">
      <c r="A105" s="276" t="s">
        <v>145</v>
      </c>
      <c r="B105" s="277" t="s">
        <v>295</v>
      </c>
      <c r="C105" s="278" t="s">
        <v>289</v>
      </c>
      <c r="D105" s="279">
        <v>17877</v>
      </c>
      <c r="E105" s="279">
        <v>521</v>
      </c>
      <c r="F105" s="279">
        <v>2916</v>
      </c>
      <c r="G105" s="279">
        <v>172</v>
      </c>
      <c r="H105" s="279">
        <v>388</v>
      </c>
      <c r="I105" s="279">
        <v>9880</v>
      </c>
      <c r="J105" s="279">
        <v>4000</v>
      </c>
      <c r="K105" s="279">
        <f t="shared" si="12"/>
        <v>13356</v>
      </c>
      <c r="L105" s="287">
        <v>7.9000000000000001E-2</v>
      </c>
      <c r="M105" s="287">
        <v>0.19900000000000001</v>
      </c>
      <c r="N105" s="288">
        <v>0.16800000000000001</v>
      </c>
      <c r="O105" s="282">
        <f t="shared" si="13"/>
        <v>41.158999999999999</v>
      </c>
      <c r="P105" s="283">
        <f t="shared" si="14"/>
        <v>230.364</v>
      </c>
      <c r="Q105" s="275">
        <f t="shared" si="15"/>
        <v>13.588000000000001</v>
      </c>
      <c r="R105" s="283">
        <f t="shared" si="16"/>
        <v>77.212000000000003</v>
      </c>
      <c r="S105" s="275">
        <f t="shared" si="17"/>
        <v>90.800000000000011</v>
      </c>
      <c r="T105" s="283">
        <f t="shared" si="11"/>
        <v>1966.1200000000001</v>
      </c>
      <c r="U105" s="283">
        <f t="shared" si="18"/>
        <v>2056.92</v>
      </c>
      <c r="V105" s="283">
        <f t="shared" si="19"/>
        <v>2287.2840000000001</v>
      </c>
    </row>
    <row r="106" spans="1:22" ht="20.100000000000001" customHeight="1">
      <c r="D106" s="290"/>
      <c r="E106" s="290"/>
      <c r="F106" s="290"/>
      <c r="G106" s="290"/>
      <c r="H106" s="290"/>
      <c r="I106" s="290"/>
      <c r="J106" s="291"/>
      <c r="K106" s="291"/>
      <c r="L106" s="292" t="s">
        <v>290</v>
      </c>
      <c r="M106" s="293"/>
      <c r="N106" s="294"/>
      <c r="O106" s="295"/>
      <c r="P106" s="295"/>
      <c r="Q106" s="295"/>
      <c r="R106" s="295"/>
      <c r="S106" s="295"/>
      <c r="T106" s="295"/>
      <c r="U106" s="295"/>
      <c r="V106" s="290"/>
    </row>
    <row r="107" spans="1:22" ht="24.95" customHeight="1">
      <c r="A107" s="296" t="s">
        <v>291</v>
      </c>
      <c r="B107" s="306" t="str">
        <f>A107</f>
        <v>North Carolina</v>
      </c>
      <c r="C107" s="270"/>
      <c r="D107" s="297">
        <f>SUBTOTAL(9,D6:D105)</f>
        <v>9873948</v>
      </c>
      <c r="E107" s="297">
        <f t="shared" ref="E107:K107" si="20">SUBTOTAL(9,E6:E105)</f>
        <v>365208</v>
      </c>
      <c r="F107" s="297">
        <f t="shared" si="20"/>
        <v>1930215</v>
      </c>
      <c r="G107" s="297">
        <f t="shared" si="20"/>
        <v>137577</v>
      </c>
      <c r="H107" s="297">
        <f t="shared" si="20"/>
        <v>297776</v>
      </c>
      <c r="I107" s="297">
        <f t="shared" si="20"/>
        <v>5740125</v>
      </c>
      <c r="J107" s="297">
        <f t="shared" si="20"/>
        <v>1403047</v>
      </c>
      <c r="K107" s="297">
        <f t="shared" si="20"/>
        <v>8105693</v>
      </c>
      <c r="L107" s="298">
        <f>214000/2304514</f>
        <v>9.2861228007293517E-2</v>
      </c>
      <c r="M107" s="299">
        <f>1341000/5997347</f>
        <v>0.22359886796611902</v>
      </c>
      <c r="N107" s="300">
        <f>1562000/8301861</f>
        <v>0.188150584549657</v>
      </c>
      <c r="O107" s="297">
        <f t="shared" ref="O107:V107" si="21">SUBTOTAL(9,O6:O105)</f>
        <v>30562.660999999996</v>
      </c>
      <c r="P107" s="297">
        <f t="shared" si="21"/>
        <v>161025.07800000001</v>
      </c>
      <c r="Q107" s="297">
        <f t="shared" si="21"/>
        <v>11469.267</v>
      </c>
      <c r="R107" s="297">
        <f t="shared" si="21"/>
        <v>62621.282999999967</v>
      </c>
      <c r="S107" s="297">
        <f t="shared" si="21"/>
        <v>74090.550000000017</v>
      </c>
      <c r="T107" s="297">
        <f t="shared" si="21"/>
        <v>1199611.8020000004</v>
      </c>
      <c r="U107" s="297">
        <f t="shared" si="21"/>
        <v>1273702.352</v>
      </c>
      <c r="V107" s="297">
        <f t="shared" si="21"/>
        <v>1434727.4300000004</v>
      </c>
    </row>
    <row r="108" spans="1:22">
      <c r="O108" s="301">
        <f>O107/E107</f>
        <v>8.3685628463779541E-2</v>
      </c>
      <c r="P108" s="301">
        <f>P107/F107</f>
        <v>8.3423389622399577E-2</v>
      </c>
      <c r="Q108" s="301">
        <f>Q107/G107</f>
        <v>8.3366165856211427E-2</v>
      </c>
      <c r="R108" s="301">
        <f>R107/H107</f>
        <v>0.21029660886035129</v>
      </c>
      <c r="S108" s="301">
        <f>S107/SUM(G107:H107)</f>
        <v>0.17018499929941913</v>
      </c>
      <c r="T108" s="301">
        <f>T107/I107</f>
        <v>0.20898705202412846</v>
      </c>
      <c r="U108" s="301">
        <f>U107/SUM(G107:I107)</f>
        <v>0.2062516216558459</v>
      </c>
      <c r="V108" s="301">
        <f>V107/K107</f>
        <v>0.17700243890312653</v>
      </c>
    </row>
    <row r="109" spans="1:22" ht="20.100000000000001" customHeight="1">
      <c r="B109" s="246" t="s">
        <v>292</v>
      </c>
    </row>
    <row r="110" spans="1:22" ht="20.100000000000001" customHeight="1">
      <c r="B110" s="246" t="s">
        <v>293</v>
      </c>
    </row>
    <row r="111" spans="1:22" ht="45.75" customHeight="1">
      <c r="B111" s="524" t="s">
        <v>294</v>
      </c>
      <c r="C111" s="524"/>
      <c r="D111" s="524"/>
      <c r="E111" s="524"/>
      <c r="F111" s="524"/>
      <c r="G111" s="524"/>
      <c r="H111" s="524"/>
      <c r="I111" s="524"/>
      <c r="J111" s="524"/>
      <c r="K111" s="524"/>
      <c r="L111" s="524"/>
      <c r="M111" s="524"/>
      <c r="N111" s="524"/>
      <c r="O111" s="524"/>
      <c r="P111" s="524"/>
      <c r="Q111" s="524"/>
      <c r="R111" s="524"/>
      <c r="S111" s="524"/>
      <c r="T111" s="524"/>
      <c r="U111" s="524"/>
      <c r="V111" s="524"/>
    </row>
  </sheetData>
  <sheetProtection sheet="1" objects="1" scenarios="1" autoFilter="0"/>
  <autoFilter ref="A5:V111"/>
  <mergeCells count="1">
    <mergeCell ref="B111:V111"/>
  </mergeCells>
  <printOptions horizontalCentered="1"/>
  <pageMargins left="0.3" right="0.3" top="0.5" bottom="0.5" header="0.3" footer="0.3"/>
  <pageSetup paperSize="5" scale="52" fitToWidth="2" fitToHeight="0" orientation="landscape" r:id="rId1"/>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showGridLines="0" workbookViewId="0">
      <pane ySplit="5" topLeftCell="A6" activePane="bottomLeft" state="frozen"/>
      <selection activeCell="B6" sqref="B6"/>
      <selection pane="bottomLeft" activeCell="G2" sqref="G2"/>
    </sheetView>
  </sheetViews>
  <sheetFormatPr defaultRowHeight="12.75"/>
  <cols>
    <col min="1" max="1" width="42.140625" style="22" bestFit="1" customWidth="1"/>
    <col min="2" max="2" width="18.7109375" style="45" customWidth="1"/>
    <col min="3" max="4" width="18.7109375" style="22" customWidth="1"/>
    <col min="5" max="5" width="20.7109375" style="22" customWidth="1"/>
    <col min="6" max="6" width="9.140625" style="22"/>
    <col min="7" max="7" width="42.140625" style="22" bestFit="1" customWidth="1"/>
    <col min="8" max="8" width="18.7109375" style="45" customWidth="1"/>
    <col min="9" max="10" width="18.7109375" style="22" customWidth="1"/>
    <col min="11" max="11" width="20.7109375" style="22" customWidth="1"/>
    <col min="12" max="16384" width="9.140625" style="22"/>
  </cols>
  <sheetData>
    <row r="1" spans="1:11">
      <c r="A1" s="50" t="s">
        <v>553</v>
      </c>
      <c r="B1" s="44"/>
      <c r="C1" s="44"/>
      <c r="D1" s="44"/>
      <c r="E1" s="44"/>
      <c r="G1" s="50" t="s">
        <v>553</v>
      </c>
      <c r="H1" s="44"/>
      <c r="I1" s="44"/>
      <c r="J1" s="44"/>
      <c r="K1" s="44"/>
    </row>
    <row r="2" spans="1:11">
      <c r="A2" s="50" t="s">
        <v>307</v>
      </c>
      <c r="B2" s="44"/>
      <c r="C2" s="44"/>
      <c r="D2" s="44"/>
      <c r="E2" s="44"/>
      <c r="G2" s="50" t="s">
        <v>307</v>
      </c>
      <c r="H2" s="44"/>
      <c r="I2" s="44"/>
      <c r="J2" s="44"/>
      <c r="K2" s="44"/>
    </row>
    <row r="3" spans="1:11">
      <c r="A3" s="394" t="s">
        <v>428</v>
      </c>
      <c r="B3" s="44"/>
      <c r="C3" s="44"/>
      <c r="D3" s="44"/>
      <c r="E3" s="44"/>
      <c r="G3" s="394" t="s">
        <v>429</v>
      </c>
      <c r="H3" s="44"/>
      <c r="I3" s="44"/>
      <c r="J3" s="44"/>
      <c r="K3" s="44"/>
    </row>
    <row r="5" spans="1:11" ht="51">
      <c r="A5" s="392" t="s">
        <v>306</v>
      </c>
      <c r="B5" s="393" t="s">
        <v>302</v>
      </c>
      <c r="C5" s="393" t="s">
        <v>303</v>
      </c>
      <c r="D5" s="393" t="s">
        <v>304</v>
      </c>
      <c r="E5" s="393" t="s">
        <v>305</v>
      </c>
      <c r="G5" s="390" t="s">
        <v>306</v>
      </c>
      <c r="H5" s="391" t="s">
        <v>302</v>
      </c>
      <c r="I5" s="391" t="s">
        <v>303</v>
      </c>
      <c r="J5" s="391" t="s">
        <v>304</v>
      </c>
      <c r="K5" s="391" t="s">
        <v>305</v>
      </c>
    </row>
    <row r="6" spans="1:11">
      <c r="A6" s="399" t="s">
        <v>13</v>
      </c>
      <c r="B6" s="400">
        <v>31132.073</v>
      </c>
      <c r="C6" s="400">
        <v>12814.112000000001</v>
      </c>
      <c r="D6" s="400">
        <v>222533.89500000002</v>
      </c>
      <c r="E6" s="400">
        <v>266480.08</v>
      </c>
      <c r="G6" s="309" t="s">
        <v>13</v>
      </c>
      <c r="H6" s="310">
        <v>31132.073</v>
      </c>
      <c r="I6" s="310">
        <v>12814.112000000001</v>
      </c>
      <c r="J6" s="310">
        <v>222533.89500000002</v>
      </c>
      <c r="K6" s="310">
        <v>266480.08</v>
      </c>
    </row>
    <row r="7" spans="1:11">
      <c r="A7" s="395" t="s">
        <v>46</v>
      </c>
      <c r="B7" s="396">
        <v>6218.66</v>
      </c>
      <c r="C7" s="396">
        <v>3006.1779999999999</v>
      </c>
      <c r="D7" s="396">
        <v>44145.815999999999</v>
      </c>
      <c r="E7" s="396">
        <v>53370.653999999995</v>
      </c>
      <c r="G7" s="307" t="s">
        <v>46</v>
      </c>
      <c r="H7" s="308">
        <v>6218.66</v>
      </c>
      <c r="I7" s="308">
        <v>3006.1779999999999</v>
      </c>
      <c r="J7" s="308">
        <v>44145.815999999999</v>
      </c>
      <c r="K7" s="308">
        <v>53370.653999999995</v>
      </c>
    </row>
    <row r="8" spans="1:11">
      <c r="A8" s="397" t="s">
        <v>47</v>
      </c>
      <c r="B8" s="398">
        <v>4800.1589999999997</v>
      </c>
      <c r="C8" s="398">
        <v>2554.4870000000001</v>
      </c>
      <c r="D8" s="398">
        <v>38311.279999999999</v>
      </c>
      <c r="E8" s="398">
        <v>45665.925999999999</v>
      </c>
      <c r="G8" s="307" t="s">
        <v>47</v>
      </c>
      <c r="H8" s="308">
        <v>4800.1589999999997</v>
      </c>
      <c r="I8" s="308">
        <v>2554.4870000000001</v>
      </c>
      <c r="J8" s="308">
        <v>38311.279999999999</v>
      </c>
      <c r="K8" s="308">
        <v>45665.925999999999</v>
      </c>
    </row>
    <row r="9" spans="1:11">
      <c r="A9" s="397" t="s">
        <v>48</v>
      </c>
      <c r="B9" s="398">
        <v>3445.5600000000004</v>
      </c>
      <c r="C9" s="398">
        <v>1185.3110000000001</v>
      </c>
      <c r="D9" s="398">
        <v>23826.114000000001</v>
      </c>
      <c r="E9" s="398">
        <v>28456.985000000004</v>
      </c>
      <c r="G9" s="307" t="s">
        <v>48</v>
      </c>
      <c r="H9" s="308">
        <v>3445.5600000000004</v>
      </c>
      <c r="I9" s="308">
        <v>1185.3110000000001</v>
      </c>
      <c r="J9" s="308">
        <v>23826.114000000001</v>
      </c>
      <c r="K9" s="308">
        <v>28456.985000000004</v>
      </c>
    </row>
    <row r="10" spans="1:11">
      <c r="A10" s="397" t="s">
        <v>49</v>
      </c>
      <c r="B10" s="398">
        <v>16667.694</v>
      </c>
      <c r="C10" s="398">
        <v>6068.1359999999995</v>
      </c>
      <c r="D10" s="398">
        <v>116250.68500000001</v>
      </c>
      <c r="E10" s="398">
        <v>138986.51500000001</v>
      </c>
      <c r="G10" s="307" t="s">
        <v>49</v>
      </c>
      <c r="H10" s="308">
        <v>16667.694</v>
      </c>
      <c r="I10" s="308">
        <v>6068.1359999999995</v>
      </c>
      <c r="J10" s="308">
        <v>116250.68500000001</v>
      </c>
      <c r="K10" s="308">
        <v>138986.51500000001</v>
      </c>
    </row>
    <row r="11" spans="1:11">
      <c r="A11" s="307"/>
      <c r="B11" s="308"/>
      <c r="C11" s="308"/>
      <c r="D11" s="308"/>
      <c r="E11" s="308"/>
      <c r="G11" s="307"/>
      <c r="H11" s="308"/>
      <c r="I11" s="308"/>
      <c r="J11" s="308"/>
      <c r="K11" s="308"/>
    </row>
    <row r="12" spans="1:11">
      <c r="A12" s="401" t="s">
        <v>14</v>
      </c>
      <c r="B12" s="402">
        <v>23519.61</v>
      </c>
      <c r="C12" s="402">
        <v>10882.692999999999</v>
      </c>
      <c r="D12" s="402">
        <v>172914.299</v>
      </c>
      <c r="E12" s="402">
        <v>207316.60200000004</v>
      </c>
      <c r="G12" s="309" t="s">
        <v>14</v>
      </c>
      <c r="H12" s="310">
        <v>23519.61</v>
      </c>
      <c r="I12" s="310">
        <v>10882.692999999999</v>
      </c>
      <c r="J12" s="310">
        <v>172914.299</v>
      </c>
      <c r="K12" s="310">
        <v>207316.60200000004</v>
      </c>
    </row>
    <row r="13" spans="1:11">
      <c r="A13" s="395" t="s">
        <v>50</v>
      </c>
      <c r="B13" s="396">
        <v>2631.5519999999997</v>
      </c>
      <c r="C13" s="396">
        <v>1368.79</v>
      </c>
      <c r="D13" s="396">
        <v>18545.697</v>
      </c>
      <c r="E13" s="396">
        <v>22546.039000000001</v>
      </c>
      <c r="G13" s="307" t="s">
        <v>50</v>
      </c>
      <c r="H13" s="308">
        <v>2631.5519999999997</v>
      </c>
      <c r="I13" s="308">
        <v>1368.79</v>
      </c>
      <c r="J13" s="308">
        <v>18545.697</v>
      </c>
      <c r="K13" s="308">
        <v>22546.039000000001</v>
      </c>
    </row>
    <row r="14" spans="1:11">
      <c r="A14" s="395" t="s">
        <v>51</v>
      </c>
      <c r="B14" s="396">
        <v>3377.7000000000003</v>
      </c>
      <c r="C14" s="396">
        <v>1252.0539999999999</v>
      </c>
      <c r="D14" s="396">
        <v>22452.242999999999</v>
      </c>
      <c r="E14" s="396">
        <v>27081.996999999999</v>
      </c>
      <c r="G14" s="307" t="s">
        <v>51</v>
      </c>
      <c r="H14" s="308">
        <v>3377.7000000000003</v>
      </c>
      <c r="I14" s="308">
        <v>1252.0539999999999</v>
      </c>
      <c r="J14" s="308">
        <v>22452.242999999999</v>
      </c>
      <c r="K14" s="308">
        <v>27081.996999999999</v>
      </c>
    </row>
    <row r="15" spans="1:11">
      <c r="A15" s="395" t="s">
        <v>52</v>
      </c>
      <c r="B15" s="396">
        <v>316.38600000000002</v>
      </c>
      <c r="C15" s="396">
        <v>150.27300000000002</v>
      </c>
      <c r="D15" s="396">
        <v>3262.848</v>
      </c>
      <c r="E15" s="396">
        <v>3729.5070000000001</v>
      </c>
      <c r="G15" s="307" t="s">
        <v>52</v>
      </c>
      <c r="H15" s="308">
        <v>316.38600000000002</v>
      </c>
      <c r="I15" s="308">
        <v>150.27300000000002</v>
      </c>
      <c r="J15" s="308">
        <v>3262.848</v>
      </c>
      <c r="K15" s="308">
        <v>3729.5070000000001</v>
      </c>
    </row>
    <row r="16" spans="1:11">
      <c r="A16" s="395" t="s">
        <v>53</v>
      </c>
      <c r="B16" s="396">
        <v>1070.136</v>
      </c>
      <c r="C16" s="396">
        <v>365.66899999999998</v>
      </c>
      <c r="D16" s="396">
        <v>8423.5500000000011</v>
      </c>
      <c r="E16" s="396">
        <v>9859.3550000000014</v>
      </c>
      <c r="G16" s="307" t="s">
        <v>53</v>
      </c>
      <c r="H16" s="308">
        <v>1070.136</v>
      </c>
      <c r="I16" s="308">
        <v>365.66899999999998</v>
      </c>
      <c r="J16" s="308">
        <v>8423.5500000000011</v>
      </c>
      <c r="K16" s="308">
        <v>9859.3550000000014</v>
      </c>
    </row>
    <row r="17" spans="1:11">
      <c r="A17" s="395" t="s">
        <v>54</v>
      </c>
      <c r="B17" s="396">
        <v>2513.94</v>
      </c>
      <c r="C17" s="396">
        <v>960.12099999999987</v>
      </c>
      <c r="D17" s="396">
        <v>19428.875</v>
      </c>
      <c r="E17" s="396">
        <v>22902.935999999998</v>
      </c>
      <c r="G17" s="307" t="s">
        <v>54</v>
      </c>
      <c r="H17" s="308">
        <v>2513.94</v>
      </c>
      <c r="I17" s="308">
        <v>960.12099999999987</v>
      </c>
      <c r="J17" s="308">
        <v>19428.875</v>
      </c>
      <c r="K17" s="308">
        <v>22902.935999999998</v>
      </c>
    </row>
    <row r="18" spans="1:11">
      <c r="A18" s="395" t="s">
        <v>55</v>
      </c>
      <c r="B18" s="396">
        <v>1055.796</v>
      </c>
      <c r="C18" s="396">
        <v>425.09199999999998</v>
      </c>
      <c r="D18" s="396">
        <v>8375.4500000000007</v>
      </c>
      <c r="E18" s="396">
        <v>9856.3380000000016</v>
      </c>
      <c r="G18" s="307" t="s">
        <v>55</v>
      </c>
      <c r="H18" s="308">
        <v>1055.796</v>
      </c>
      <c r="I18" s="308">
        <v>425.09199999999998</v>
      </c>
      <c r="J18" s="308">
        <v>8375.4500000000007</v>
      </c>
      <c r="K18" s="308">
        <v>9856.3380000000016</v>
      </c>
    </row>
    <row r="19" spans="1:11">
      <c r="A19" s="395" t="s">
        <v>56</v>
      </c>
      <c r="B19" s="396">
        <v>865.452</v>
      </c>
      <c r="C19" s="396">
        <v>463.18099999999998</v>
      </c>
      <c r="D19" s="396">
        <v>6989.2699999999995</v>
      </c>
      <c r="E19" s="396">
        <v>8317.9029999999984</v>
      </c>
      <c r="G19" s="307" t="s">
        <v>56</v>
      </c>
      <c r="H19" s="308">
        <v>865.452</v>
      </c>
      <c r="I19" s="308">
        <v>463.18099999999998</v>
      </c>
      <c r="J19" s="308">
        <v>6989.2699999999995</v>
      </c>
      <c r="K19" s="308">
        <v>8317.9029999999984</v>
      </c>
    </row>
    <row r="20" spans="1:11">
      <c r="A20" s="395" t="s">
        <v>57</v>
      </c>
      <c r="B20" s="396">
        <v>869.11599999999999</v>
      </c>
      <c r="C20" s="396">
        <v>399.83199999999999</v>
      </c>
      <c r="D20" s="396">
        <v>7029.0300000000007</v>
      </c>
      <c r="E20" s="396">
        <v>8297.978000000001</v>
      </c>
      <c r="G20" s="307" t="s">
        <v>57</v>
      </c>
      <c r="H20" s="308">
        <v>869.11599999999999</v>
      </c>
      <c r="I20" s="308">
        <v>399.83199999999999</v>
      </c>
      <c r="J20" s="308">
        <v>7029.0300000000007</v>
      </c>
      <c r="K20" s="308">
        <v>8297.978000000001</v>
      </c>
    </row>
    <row r="21" spans="1:11">
      <c r="A21" s="395" t="s">
        <v>58</v>
      </c>
      <c r="B21" s="396">
        <v>2018.1020000000001</v>
      </c>
      <c r="C21" s="396">
        <v>2027.0110000000002</v>
      </c>
      <c r="D21" s="396">
        <v>16494.465</v>
      </c>
      <c r="E21" s="396">
        <v>20539.577999999998</v>
      </c>
      <c r="G21" s="307" t="s">
        <v>58</v>
      </c>
      <c r="H21" s="308">
        <v>2018.1020000000001</v>
      </c>
      <c r="I21" s="308">
        <v>2027.0110000000002</v>
      </c>
      <c r="J21" s="308">
        <v>16494.465</v>
      </c>
      <c r="K21" s="308">
        <v>20539.577999999998</v>
      </c>
    </row>
    <row r="22" spans="1:11">
      <c r="A22" s="395" t="s">
        <v>59</v>
      </c>
      <c r="B22" s="396">
        <v>583.81000000000006</v>
      </c>
      <c r="C22" s="396">
        <v>219.10999999999999</v>
      </c>
      <c r="D22" s="396">
        <v>4719.393</v>
      </c>
      <c r="E22" s="396">
        <v>5522.3130000000001</v>
      </c>
      <c r="G22" s="307" t="s">
        <v>59</v>
      </c>
      <c r="H22" s="308">
        <v>583.81000000000006</v>
      </c>
      <c r="I22" s="308">
        <v>219.10999999999999</v>
      </c>
      <c r="J22" s="308">
        <v>4719.393</v>
      </c>
      <c r="K22" s="308">
        <v>5522.3130000000001</v>
      </c>
    </row>
    <row r="23" spans="1:11">
      <c r="A23" s="395" t="s">
        <v>60</v>
      </c>
      <c r="B23" s="396">
        <v>2220.8879999999999</v>
      </c>
      <c r="C23" s="396">
        <v>967.72199999999998</v>
      </c>
      <c r="D23" s="396">
        <v>16490.655999999999</v>
      </c>
      <c r="E23" s="396">
        <v>19679.266</v>
      </c>
      <c r="G23" s="307" t="s">
        <v>60</v>
      </c>
      <c r="H23" s="308">
        <v>2220.8879999999999</v>
      </c>
      <c r="I23" s="308">
        <v>967.72199999999998</v>
      </c>
      <c r="J23" s="308">
        <v>16490.655999999999</v>
      </c>
      <c r="K23" s="308">
        <v>19679.266</v>
      </c>
    </row>
    <row r="24" spans="1:11">
      <c r="A24" s="395" t="s">
        <v>61</v>
      </c>
      <c r="B24" s="396">
        <v>840.15</v>
      </c>
      <c r="C24" s="396">
        <v>372.21899999999999</v>
      </c>
      <c r="D24" s="396">
        <v>6535.2420000000002</v>
      </c>
      <c r="E24" s="396">
        <v>7747.6109999999999</v>
      </c>
      <c r="G24" s="307" t="s">
        <v>61</v>
      </c>
      <c r="H24" s="308">
        <v>840.15</v>
      </c>
      <c r="I24" s="308">
        <v>372.21899999999999</v>
      </c>
      <c r="J24" s="308">
        <v>6535.2420000000002</v>
      </c>
      <c r="K24" s="308">
        <v>7747.6109999999999</v>
      </c>
    </row>
    <row r="25" spans="1:11">
      <c r="A25" s="395" t="s">
        <v>62</v>
      </c>
      <c r="B25" s="396">
        <v>4002.768</v>
      </c>
      <c r="C25" s="396">
        <v>1390.9680000000001</v>
      </c>
      <c r="D25" s="396">
        <v>25351.26</v>
      </c>
      <c r="E25" s="396">
        <v>30744.995999999999</v>
      </c>
      <c r="G25" s="307" t="s">
        <v>62</v>
      </c>
      <c r="H25" s="308">
        <v>4002.768</v>
      </c>
      <c r="I25" s="308">
        <v>1390.9680000000001</v>
      </c>
      <c r="J25" s="308">
        <v>25351.26</v>
      </c>
      <c r="K25" s="308">
        <v>30744.995999999999</v>
      </c>
    </row>
    <row r="26" spans="1:11">
      <c r="A26" s="395" t="s">
        <v>63</v>
      </c>
      <c r="B26" s="396">
        <v>851.21399999999994</v>
      </c>
      <c r="C26" s="396">
        <v>384.17200000000003</v>
      </c>
      <c r="D26" s="396">
        <v>5874.4720000000007</v>
      </c>
      <c r="E26" s="396">
        <v>7109.8580000000002</v>
      </c>
      <c r="G26" s="307" t="s">
        <v>63</v>
      </c>
      <c r="H26" s="308">
        <v>851.21399999999994</v>
      </c>
      <c r="I26" s="308">
        <v>384.17200000000003</v>
      </c>
      <c r="J26" s="308">
        <v>5874.4720000000007</v>
      </c>
      <c r="K26" s="308">
        <v>7109.8580000000002</v>
      </c>
    </row>
    <row r="27" spans="1:11">
      <c r="A27" s="395" t="s">
        <v>64</v>
      </c>
      <c r="B27" s="396">
        <v>302.59999999999997</v>
      </c>
      <c r="C27" s="396">
        <v>136.47899999999998</v>
      </c>
      <c r="D27" s="396">
        <v>2941.848</v>
      </c>
      <c r="E27" s="396">
        <v>3380.9269999999997</v>
      </c>
      <c r="G27" s="307" t="s">
        <v>64</v>
      </c>
      <c r="H27" s="308">
        <v>302.59999999999997</v>
      </c>
      <c r="I27" s="308">
        <v>136.47899999999998</v>
      </c>
      <c r="J27" s="308">
        <v>2941.848</v>
      </c>
      <c r="K27" s="308">
        <v>3380.9269999999997</v>
      </c>
    </row>
    <row r="28" spans="1:11">
      <c r="A28" s="307"/>
      <c r="B28" s="308"/>
      <c r="C28" s="308"/>
      <c r="D28" s="308"/>
      <c r="E28" s="308"/>
      <c r="G28" s="307"/>
      <c r="H28" s="308"/>
      <c r="I28" s="308"/>
      <c r="J28" s="308"/>
      <c r="K28" s="308"/>
    </row>
    <row r="29" spans="1:11">
      <c r="A29" s="401" t="s">
        <v>15</v>
      </c>
      <c r="B29" s="402">
        <v>9000.36</v>
      </c>
      <c r="C29" s="402">
        <v>3469.5530000000003</v>
      </c>
      <c r="D29" s="402">
        <v>63429.742000000006</v>
      </c>
      <c r="E29" s="402">
        <v>75899.654999999999</v>
      </c>
      <c r="G29" s="309" t="s">
        <v>15</v>
      </c>
      <c r="H29" s="310">
        <v>9000.36</v>
      </c>
      <c r="I29" s="310">
        <v>3469.5530000000003</v>
      </c>
      <c r="J29" s="310">
        <v>63429.742000000006</v>
      </c>
      <c r="K29" s="310">
        <v>75899.654999999999</v>
      </c>
    </row>
    <row r="30" spans="1:11">
      <c r="A30" s="395" t="s">
        <v>65</v>
      </c>
      <c r="B30" s="396">
        <v>599.56399999999996</v>
      </c>
      <c r="C30" s="396">
        <v>228.20200000000003</v>
      </c>
      <c r="D30" s="396">
        <v>4609.4400000000005</v>
      </c>
      <c r="E30" s="396">
        <v>5437.206000000001</v>
      </c>
      <c r="G30" s="307" t="s">
        <v>65</v>
      </c>
      <c r="H30" s="308">
        <v>599.56399999999996</v>
      </c>
      <c r="I30" s="308">
        <v>228.20200000000003</v>
      </c>
      <c r="J30" s="308">
        <v>4609.4400000000005</v>
      </c>
      <c r="K30" s="308">
        <v>5437.206000000001</v>
      </c>
    </row>
    <row r="31" spans="1:11">
      <c r="A31" s="395" t="s">
        <v>66</v>
      </c>
      <c r="B31" s="396">
        <v>6465.1379999999999</v>
      </c>
      <c r="C31" s="396">
        <v>2431.498</v>
      </c>
      <c r="D31" s="396">
        <v>42573.363000000005</v>
      </c>
      <c r="E31" s="396">
        <v>51469.999000000003</v>
      </c>
      <c r="G31" s="307" t="s">
        <v>66</v>
      </c>
      <c r="H31" s="308">
        <v>6465.1379999999999</v>
      </c>
      <c r="I31" s="308">
        <v>2431.498</v>
      </c>
      <c r="J31" s="308">
        <v>42573.363000000005</v>
      </c>
      <c r="K31" s="308">
        <v>51469.999000000003</v>
      </c>
    </row>
    <row r="32" spans="1:11">
      <c r="A32" s="395" t="s">
        <v>67</v>
      </c>
      <c r="B32" s="396">
        <v>1342.24</v>
      </c>
      <c r="C32" s="396">
        <v>555.86199999999997</v>
      </c>
      <c r="D32" s="396">
        <v>10781.939</v>
      </c>
      <c r="E32" s="396">
        <v>12680.040999999999</v>
      </c>
      <c r="G32" s="307" t="s">
        <v>67</v>
      </c>
      <c r="H32" s="308">
        <v>1342.24</v>
      </c>
      <c r="I32" s="308">
        <v>555.86199999999997</v>
      </c>
      <c r="J32" s="308">
        <v>10781.939</v>
      </c>
      <c r="K32" s="308">
        <v>12680.040999999999</v>
      </c>
    </row>
    <row r="33" spans="1:11">
      <c r="A33" s="395" t="s">
        <v>68</v>
      </c>
      <c r="B33" s="396">
        <v>593.41799999999989</v>
      </c>
      <c r="C33" s="396">
        <v>253.99099999999999</v>
      </c>
      <c r="D33" s="396">
        <v>5465</v>
      </c>
      <c r="E33" s="396">
        <v>6312.4089999999997</v>
      </c>
      <c r="G33" s="307" t="s">
        <v>68</v>
      </c>
      <c r="H33" s="308">
        <v>593.41799999999989</v>
      </c>
      <c r="I33" s="308">
        <v>253.99099999999999</v>
      </c>
      <c r="J33" s="308">
        <v>5465</v>
      </c>
      <c r="K33" s="308">
        <v>6312.4089999999997</v>
      </c>
    </row>
    <row r="34" spans="1:11">
      <c r="A34" s="307"/>
      <c r="B34" s="308"/>
      <c r="C34" s="308"/>
      <c r="D34" s="308"/>
      <c r="E34" s="308"/>
      <c r="G34" s="307"/>
      <c r="H34" s="308"/>
      <c r="I34" s="308"/>
      <c r="J34" s="308"/>
      <c r="K34" s="308"/>
    </row>
    <row r="35" spans="1:11">
      <c r="A35" s="401" t="s">
        <v>16</v>
      </c>
      <c r="B35" s="402">
        <v>8873.9179999999997</v>
      </c>
      <c r="C35" s="402">
        <v>6147.3220000000001</v>
      </c>
      <c r="D35" s="402">
        <v>79134.207999999999</v>
      </c>
      <c r="E35" s="402">
        <v>94155.447999999989</v>
      </c>
      <c r="G35" s="309" t="s">
        <v>16</v>
      </c>
      <c r="H35" s="310">
        <v>8873.9179999999997</v>
      </c>
      <c r="I35" s="310">
        <v>6147.3220000000001</v>
      </c>
      <c r="J35" s="310">
        <v>79134.207999999999</v>
      </c>
      <c r="K35" s="310">
        <v>94155.447999999989</v>
      </c>
    </row>
    <row r="36" spans="1:11">
      <c r="A36" s="395" t="s">
        <v>69</v>
      </c>
      <c r="B36" s="396">
        <v>1373.19</v>
      </c>
      <c r="C36" s="396">
        <v>494.60400000000004</v>
      </c>
      <c r="D36" s="396">
        <v>12336</v>
      </c>
      <c r="E36" s="396">
        <v>14203.794</v>
      </c>
      <c r="G36" s="307" t="s">
        <v>69</v>
      </c>
      <c r="H36" s="308">
        <v>1373.19</v>
      </c>
      <c r="I36" s="308">
        <v>494.60400000000004</v>
      </c>
      <c r="J36" s="308">
        <v>12336</v>
      </c>
      <c r="K36" s="308">
        <v>14203.794</v>
      </c>
    </row>
    <row r="37" spans="1:11">
      <c r="A37" s="395" t="s">
        <v>70</v>
      </c>
      <c r="B37" s="396">
        <v>787.50799999999992</v>
      </c>
      <c r="C37" s="396">
        <v>340.64799999999997</v>
      </c>
      <c r="D37" s="396">
        <v>7465.2920000000004</v>
      </c>
      <c r="E37" s="396">
        <v>8593.4480000000003</v>
      </c>
      <c r="G37" s="307" t="s">
        <v>70</v>
      </c>
      <c r="H37" s="308">
        <v>787.50799999999992</v>
      </c>
      <c r="I37" s="308">
        <v>340.64799999999997</v>
      </c>
      <c r="J37" s="308">
        <v>7465.2920000000004</v>
      </c>
      <c r="K37" s="308">
        <v>8593.4480000000003</v>
      </c>
    </row>
    <row r="38" spans="1:11">
      <c r="A38" s="395" t="s">
        <v>71</v>
      </c>
      <c r="B38" s="396">
        <v>2734.98</v>
      </c>
      <c r="C38" s="396">
        <v>1910.4660000000001</v>
      </c>
      <c r="D38" s="396">
        <v>25622</v>
      </c>
      <c r="E38" s="396">
        <v>30267.446</v>
      </c>
      <c r="G38" s="307" t="s">
        <v>71</v>
      </c>
      <c r="H38" s="308">
        <v>2734.98</v>
      </c>
      <c r="I38" s="308">
        <v>1910.4660000000001</v>
      </c>
      <c r="J38" s="308">
        <v>25622</v>
      </c>
      <c r="K38" s="308">
        <v>30267.446</v>
      </c>
    </row>
    <row r="39" spans="1:11">
      <c r="A39" s="395" t="s">
        <v>72</v>
      </c>
      <c r="B39" s="396">
        <v>3170.88</v>
      </c>
      <c r="C39" s="396">
        <v>3032.7999999999997</v>
      </c>
      <c r="D39" s="396">
        <v>26589.599999999999</v>
      </c>
      <c r="E39" s="396">
        <v>32793.279999999999</v>
      </c>
      <c r="G39" s="307" t="s">
        <v>72</v>
      </c>
      <c r="H39" s="308">
        <v>3170.88</v>
      </c>
      <c r="I39" s="308">
        <v>3032.7999999999997</v>
      </c>
      <c r="J39" s="308">
        <v>26589.599999999999</v>
      </c>
      <c r="K39" s="308">
        <v>32793.279999999999</v>
      </c>
    </row>
    <row r="40" spans="1:11">
      <c r="A40" s="395" t="s">
        <v>73</v>
      </c>
      <c r="B40" s="396">
        <v>807.36</v>
      </c>
      <c r="C40" s="396">
        <v>368.80400000000003</v>
      </c>
      <c r="D40" s="396">
        <v>7121.3159999999998</v>
      </c>
      <c r="E40" s="396">
        <v>8297.48</v>
      </c>
      <c r="G40" s="307" t="s">
        <v>73</v>
      </c>
      <c r="H40" s="308">
        <v>807.36</v>
      </c>
      <c r="I40" s="308">
        <v>368.80400000000003</v>
      </c>
      <c r="J40" s="308">
        <v>7121.3159999999998</v>
      </c>
      <c r="K40" s="308">
        <v>8297.48</v>
      </c>
    </row>
    <row r="41" spans="1:11">
      <c r="A41" s="307"/>
      <c r="B41" s="308"/>
      <c r="C41" s="308"/>
      <c r="D41" s="308"/>
      <c r="E41" s="308"/>
      <c r="G41" s="307"/>
      <c r="H41" s="308"/>
      <c r="I41" s="308"/>
      <c r="J41" s="308"/>
      <c r="K41" s="308"/>
    </row>
    <row r="42" spans="1:11">
      <c r="A42" s="401" t="s">
        <v>17</v>
      </c>
      <c r="B42" s="402">
        <v>9217.8169999999991</v>
      </c>
      <c r="C42" s="402">
        <v>5730.4760000000006</v>
      </c>
      <c r="D42" s="402">
        <v>74458.883999999991</v>
      </c>
      <c r="E42" s="402">
        <v>89407.176999999996</v>
      </c>
      <c r="G42" s="309" t="s">
        <v>17</v>
      </c>
      <c r="H42" s="310">
        <v>9217.8169999999991</v>
      </c>
      <c r="I42" s="310">
        <v>5730.4760000000006</v>
      </c>
      <c r="J42" s="310">
        <v>74458.883999999991</v>
      </c>
      <c r="K42" s="310">
        <v>89407.176999999996</v>
      </c>
    </row>
    <row r="43" spans="1:11">
      <c r="A43" s="395" t="s">
        <v>74</v>
      </c>
      <c r="B43" s="396">
        <v>743.83500000000004</v>
      </c>
      <c r="C43" s="396">
        <v>257.39800000000002</v>
      </c>
      <c r="D43" s="396">
        <v>5306.42</v>
      </c>
      <c r="E43" s="396">
        <v>6307.6530000000002</v>
      </c>
      <c r="G43" s="307" t="s">
        <v>74</v>
      </c>
      <c r="H43" s="308">
        <v>743.83500000000004</v>
      </c>
      <c r="I43" s="308">
        <v>257.39800000000002</v>
      </c>
      <c r="J43" s="308">
        <v>5306.42</v>
      </c>
      <c r="K43" s="308">
        <v>6307.6530000000002</v>
      </c>
    </row>
    <row r="44" spans="1:11">
      <c r="A44" s="395" t="s">
        <v>75</v>
      </c>
      <c r="B44" s="396">
        <v>305.19599999999997</v>
      </c>
      <c r="C44" s="396">
        <v>122.617</v>
      </c>
      <c r="D44" s="396">
        <v>2986.4160000000002</v>
      </c>
      <c r="E44" s="396">
        <v>3414.2290000000003</v>
      </c>
      <c r="G44" s="307" t="s">
        <v>75</v>
      </c>
      <c r="H44" s="308">
        <v>305.19599999999997</v>
      </c>
      <c r="I44" s="308">
        <v>122.617</v>
      </c>
      <c r="J44" s="308">
        <v>2986.4160000000002</v>
      </c>
      <c r="K44" s="308">
        <v>3414.2290000000003</v>
      </c>
    </row>
    <row r="45" spans="1:11">
      <c r="A45" s="395" t="s">
        <v>76</v>
      </c>
      <c r="B45" s="396">
        <v>132.19200000000001</v>
      </c>
      <c r="C45" s="396">
        <v>58.533000000000001</v>
      </c>
      <c r="D45" s="396">
        <v>1124.3700000000001</v>
      </c>
      <c r="E45" s="396">
        <v>1315.095</v>
      </c>
      <c r="G45" s="307" t="s">
        <v>76</v>
      </c>
      <c r="H45" s="308">
        <v>132.19200000000001</v>
      </c>
      <c r="I45" s="308">
        <v>58.533000000000001</v>
      </c>
      <c r="J45" s="308">
        <v>1124.3700000000001</v>
      </c>
      <c r="K45" s="308">
        <v>1315.095</v>
      </c>
    </row>
    <row r="46" spans="1:11">
      <c r="A46" s="395" t="s">
        <v>77</v>
      </c>
      <c r="B46" s="396">
        <v>221.31800000000001</v>
      </c>
      <c r="C46" s="396">
        <v>83.429999999999993</v>
      </c>
      <c r="D46" s="396">
        <v>1630.078</v>
      </c>
      <c r="E46" s="396">
        <v>1934.826</v>
      </c>
      <c r="G46" s="307" t="s">
        <v>77</v>
      </c>
      <c r="H46" s="308">
        <v>221.31800000000001</v>
      </c>
      <c r="I46" s="308">
        <v>83.429999999999993</v>
      </c>
      <c r="J46" s="308">
        <v>1630.078</v>
      </c>
      <c r="K46" s="308">
        <v>1934.826</v>
      </c>
    </row>
    <row r="47" spans="1:11">
      <c r="A47" s="395" t="s">
        <v>78</v>
      </c>
      <c r="B47" s="396">
        <v>1648.8</v>
      </c>
      <c r="C47" s="396">
        <v>813.1160000000001</v>
      </c>
      <c r="D47" s="396">
        <v>11700.042000000001</v>
      </c>
      <c r="E47" s="396">
        <v>14161.958000000001</v>
      </c>
      <c r="G47" s="307" t="s">
        <v>78</v>
      </c>
      <c r="H47" s="308">
        <v>1648.8</v>
      </c>
      <c r="I47" s="308">
        <v>813.1160000000001</v>
      </c>
      <c r="J47" s="308">
        <v>11700.042000000001</v>
      </c>
      <c r="K47" s="308">
        <v>14161.958000000001</v>
      </c>
    </row>
    <row r="48" spans="1:11">
      <c r="A48" s="395" t="s">
        <v>79</v>
      </c>
      <c r="B48" s="396">
        <v>311.64000000000004</v>
      </c>
      <c r="C48" s="396">
        <v>140.852</v>
      </c>
      <c r="D48" s="396">
        <v>2794.1759999999999</v>
      </c>
      <c r="E48" s="396">
        <v>3246.6679999999997</v>
      </c>
      <c r="G48" s="307" t="s">
        <v>79</v>
      </c>
      <c r="H48" s="308">
        <v>311.64000000000004</v>
      </c>
      <c r="I48" s="308">
        <v>140.852</v>
      </c>
      <c r="J48" s="308">
        <v>2794.1759999999999</v>
      </c>
      <c r="K48" s="308">
        <v>3246.6679999999997</v>
      </c>
    </row>
    <row r="49" spans="1:11">
      <c r="A49" s="395" t="s">
        <v>80</v>
      </c>
      <c r="B49" s="396">
        <v>448.81200000000001</v>
      </c>
      <c r="C49" s="396">
        <v>136.136</v>
      </c>
      <c r="D49" s="396">
        <v>3875.8719999999998</v>
      </c>
      <c r="E49" s="396">
        <v>4460.82</v>
      </c>
      <c r="G49" s="307" t="s">
        <v>80</v>
      </c>
      <c r="H49" s="308">
        <v>448.81200000000001</v>
      </c>
      <c r="I49" s="308">
        <v>136.136</v>
      </c>
      <c r="J49" s="308">
        <v>3875.8719999999998</v>
      </c>
      <c r="K49" s="308">
        <v>4460.82</v>
      </c>
    </row>
    <row r="50" spans="1:11">
      <c r="A50" s="395" t="s">
        <v>81</v>
      </c>
      <c r="B50" s="396">
        <v>162.547</v>
      </c>
      <c r="C50" s="396">
        <v>101.622</v>
      </c>
      <c r="D50" s="396">
        <v>1519.164</v>
      </c>
      <c r="E50" s="396">
        <v>1783.3330000000001</v>
      </c>
      <c r="G50" s="307" t="s">
        <v>81</v>
      </c>
      <c r="H50" s="308">
        <v>162.547</v>
      </c>
      <c r="I50" s="308">
        <v>101.622</v>
      </c>
      <c r="J50" s="308">
        <v>1519.164</v>
      </c>
      <c r="K50" s="308">
        <v>1783.3330000000001</v>
      </c>
    </row>
    <row r="51" spans="1:11">
      <c r="A51" s="395" t="s">
        <v>82</v>
      </c>
      <c r="B51" s="396">
        <v>377.44899999999996</v>
      </c>
      <c r="C51" s="396">
        <v>238.66899999999998</v>
      </c>
      <c r="D51" s="396">
        <v>3205.0129999999999</v>
      </c>
      <c r="E51" s="396">
        <v>3821.1309999999999</v>
      </c>
      <c r="G51" s="307" t="s">
        <v>82</v>
      </c>
      <c r="H51" s="308">
        <v>377.44899999999996</v>
      </c>
      <c r="I51" s="308">
        <v>238.66899999999998</v>
      </c>
      <c r="J51" s="308">
        <v>3205.0129999999999</v>
      </c>
      <c r="K51" s="308">
        <v>3821.1309999999999</v>
      </c>
    </row>
    <row r="52" spans="1:11">
      <c r="A52" s="395" t="s">
        <v>83</v>
      </c>
      <c r="B52" s="396">
        <v>72.930000000000007</v>
      </c>
      <c r="C52" s="396">
        <v>36.372999999999998</v>
      </c>
      <c r="D52" s="396">
        <v>891.01199999999994</v>
      </c>
      <c r="E52" s="396">
        <v>1000.3150000000001</v>
      </c>
      <c r="G52" s="307" t="s">
        <v>83</v>
      </c>
      <c r="H52" s="308">
        <v>72.930000000000007</v>
      </c>
      <c r="I52" s="308">
        <v>36.372999999999998</v>
      </c>
      <c r="J52" s="308">
        <v>891.01199999999994</v>
      </c>
      <c r="K52" s="308">
        <v>1000.3150000000001</v>
      </c>
    </row>
    <row r="53" spans="1:11">
      <c r="A53" s="395" t="s">
        <v>84</v>
      </c>
      <c r="B53" s="396">
        <v>156.87</v>
      </c>
      <c r="C53" s="396">
        <v>63.195000000000007</v>
      </c>
      <c r="D53" s="396">
        <v>1386.0620000000001</v>
      </c>
      <c r="E53" s="396">
        <v>1606.127</v>
      </c>
      <c r="G53" s="307" t="s">
        <v>84</v>
      </c>
      <c r="H53" s="308">
        <v>156.87</v>
      </c>
      <c r="I53" s="308">
        <v>63.195000000000007</v>
      </c>
      <c r="J53" s="308">
        <v>1386.0620000000001</v>
      </c>
      <c r="K53" s="308">
        <v>1606.127</v>
      </c>
    </row>
    <row r="54" spans="1:11">
      <c r="A54" s="395" t="s">
        <v>85</v>
      </c>
      <c r="B54" s="396">
        <v>367.03000000000003</v>
      </c>
      <c r="C54" s="396">
        <v>140.852</v>
      </c>
      <c r="D54" s="396">
        <v>2818.116</v>
      </c>
      <c r="E54" s="396">
        <v>3325.998</v>
      </c>
      <c r="G54" s="307" t="s">
        <v>85</v>
      </c>
      <c r="H54" s="308">
        <v>367.03000000000003</v>
      </c>
      <c r="I54" s="308">
        <v>140.852</v>
      </c>
      <c r="J54" s="308">
        <v>2818.116</v>
      </c>
      <c r="K54" s="308">
        <v>3325.998</v>
      </c>
    </row>
    <row r="55" spans="1:11">
      <c r="A55" s="395" t="s">
        <v>86</v>
      </c>
      <c r="B55" s="396">
        <v>308.31</v>
      </c>
      <c r="C55" s="396">
        <v>132.20100000000002</v>
      </c>
      <c r="D55" s="396">
        <v>2753.52</v>
      </c>
      <c r="E55" s="396">
        <v>3194.0309999999999</v>
      </c>
      <c r="G55" s="307" t="s">
        <v>86</v>
      </c>
      <c r="H55" s="308">
        <v>308.31</v>
      </c>
      <c r="I55" s="308">
        <v>132.20100000000002</v>
      </c>
      <c r="J55" s="308">
        <v>2753.52</v>
      </c>
      <c r="K55" s="308">
        <v>3194.0309999999999</v>
      </c>
    </row>
    <row r="56" spans="1:11">
      <c r="A56" s="395" t="s">
        <v>87</v>
      </c>
      <c r="B56" s="396">
        <v>153.971</v>
      </c>
      <c r="C56" s="396">
        <v>53.832000000000001</v>
      </c>
      <c r="D56" s="396">
        <v>1503.0820000000001</v>
      </c>
      <c r="E56" s="396">
        <v>1710.8850000000002</v>
      </c>
      <c r="G56" s="307" t="s">
        <v>87</v>
      </c>
      <c r="H56" s="308">
        <v>153.971</v>
      </c>
      <c r="I56" s="308">
        <v>53.832000000000001</v>
      </c>
      <c r="J56" s="308">
        <v>1503.0820000000001</v>
      </c>
      <c r="K56" s="308">
        <v>1710.8850000000002</v>
      </c>
    </row>
    <row r="57" spans="1:11">
      <c r="A57" s="395" t="s">
        <v>88</v>
      </c>
      <c r="B57" s="396">
        <v>621.39600000000007</v>
      </c>
      <c r="C57" s="396">
        <v>392.02000000000004</v>
      </c>
      <c r="D57" s="396">
        <v>4789.067</v>
      </c>
      <c r="E57" s="396">
        <v>5802.4830000000002</v>
      </c>
      <c r="G57" s="307" t="s">
        <v>88</v>
      </c>
      <c r="H57" s="308">
        <v>621.39600000000007</v>
      </c>
      <c r="I57" s="308">
        <v>392.02000000000004</v>
      </c>
      <c r="J57" s="308">
        <v>4789.067</v>
      </c>
      <c r="K57" s="308">
        <v>5802.4830000000002</v>
      </c>
    </row>
    <row r="58" spans="1:11">
      <c r="A58" s="395" t="s">
        <v>89</v>
      </c>
      <c r="B58" s="396">
        <v>175.86799999999999</v>
      </c>
      <c r="C58" s="396">
        <v>81.268000000000001</v>
      </c>
      <c r="D58" s="396">
        <v>1569.93</v>
      </c>
      <c r="E58" s="396">
        <v>1827.066</v>
      </c>
      <c r="G58" s="307" t="s">
        <v>89</v>
      </c>
      <c r="H58" s="308">
        <v>175.86799999999999</v>
      </c>
      <c r="I58" s="308">
        <v>81.268000000000001</v>
      </c>
      <c r="J58" s="308">
        <v>1569.93</v>
      </c>
      <c r="K58" s="308">
        <v>1827.066</v>
      </c>
    </row>
    <row r="59" spans="1:11">
      <c r="A59" s="395" t="s">
        <v>90</v>
      </c>
      <c r="B59" s="396">
        <v>2738.2750000000001</v>
      </c>
      <c r="C59" s="396">
        <v>2779.81</v>
      </c>
      <c r="D59" s="396">
        <v>22372.240000000002</v>
      </c>
      <c r="E59" s="396">
        <v>27890.325000000004</v>
      </c>
      <c r="G59" s="307" t="s">
        <v>90</v>
      </c>
      <c r="H59" s="308">
        <v>2738.2750000000001</v>
      </c>
      <c r="I59" s="308">
        <v>2779.81</v>
      </c>
      <c r="J59" s="308">
        <v>22372.240000000002</v>
      </c>
      <c r="K59" s="308">
        <v>27890.325000000004</v>
      </c>
    </row>
    <row r="60" spans="1:11">
      <c r="A60" s="395" t="s">
        <v>91</v>
      </c>
      <c r="B60" s="396">
        <v>54.809999999999995</v>
      </c>
      <c r="C60" s="396">
        <v>27.086000000000002</v>
      </c>
      <c r="D60" s="396">
        <v>674.04399999999998</v>
      </c>
      <c r="E60" s="396">
        <v>755.93999999999994</v>
      </c>
      <c r="G60" s="307" t="s">
        <v>91</v>
      </c>
      <c r="H60" s="308">
        <v>54.809999999999995</v>
      </c>
      <c r="I60" s="308">
        <v>27.086000000000002</v>
      </c>
      <c r="J60" s="308">
        <v>674.04399999999998</v>
      </c>
      <c r="K60" s="308">
        <v>755.93999999999994</v>
      </c>
    </row>
    <row r="61" spans="1:11">
      <c r="A61" s="395" t="s">
        <v>92</v>
      </c>
      <c r="B61" s="396">
        <v>216.56799999999998</v>
      </c>
      <c r="C61" s="396">
        <v>71.466000000000008</v>
      </c>
      <c r="D61" s="396">
        <v>1560.26</v>
      </c>
      <c r="E61" s="396">
        <v>1848.2940000000001</v>
      </c>
      <c r="G61" s="307" t="s">
        <v>92</v>
      </c>
      <c r="H61" s="308">
        <v>216.56799999999998</v>
      </c>
      <c r="I61" s="308">
        <v>71.466000000000008</v>
      </c>
      <c r="J61" s="308">
        <v>1560.26</v>
      </c>
      <c r="K61" s="308">
        <v>1848.2940000000001</v>
      </c>
    </row>
    <row r="62" spans="1:11">
      <c r="A62" s="307"/>
      <c r="B62" s="308"/>
      <c r="C62" s="308"/>
      <c r="D62" s="308"/>
      <c r="E62" s="308"/>
      <c r="G62" s="307"/>
      <c r="H62" s="308"/>
      <c r="I62" s="308"/>
      <c r="J62" s="308"/>
      <c r="K62" s="308"/>
    </row>
    <row r="63" spans="1:11">
      <c r="A63" s="401" t="s">
        <v>18</v>
      </c>
      <c r="B63" s="402">
        <v>15292.871000000001</v>
      </c>
      <c r="C63" s="402">
        <v>6566.1810000000005</v>
      </c>
      <c r="D63" s="402">
        <v>108833.31599999999</v>
      </c>
      <c r="E63" s="402">
        <v>130692.368</v>
      </c>
      <c r="G63" s="309" t="s">
        <v>18</v>
      </c>
      <c r="H63" s="310">
        <v>15292.871000000001</v>
      </c>
      <c r="I63" s="310">
        <v>6566.1810000000005</v>
      </c>
      <c r="J63" s="310">
        <v>108833.31599999999</v>
      </c>
      <c r="K63" s="310">
        <v>130692.368</v>
      </c>
    </row>
    <row r="64" spans="1:11">
      <c r="A64" s="395" t="s">
        <v>93</v>
      </c>
      <c r="B64" s="396">
        <v>571.72799999999995</v>
      </c>
      <c r="C64" s="396">
        <v>231.202</v>
      </c>
      <c r="D64" s="396">
        <v>4235.5479999999998</v>
      </c>
      <c r="E64" s="396">
        <v>5038.4780000000001</v>
      </c>
      <c r="G64" s="307" t="s">
        <v>93</v>
      </c>
      <c r="H64" s="308">
        <v>571.72799999999995</v>
      </c>
      <c r="I64" s="308">
        <v>231.202</v>
      </c>
      <c r="J64" s="308">
        <v>4235.5479999999998</v>
      </c>
      <c r="K64" s="308">
        <v>5038.4780000000001</v>
      </c>
    </row>
    <row r="65" spans="1:11">
      <c r="A65" s="395" t="s">
        <v>94</v>
      </c>
      <c r="B65" s="396">
        <v>937.97500000000002</v>
      </c>
      <c r="C65" s="396">
        <v>389.58300000000003</v>
      </c>
      <c r="D65" s="396">
        <v>7306.9080000000004</v>
      </c>
      <c r="E65" s="396">
        <v>8634.4660000000003</v>
      </c>
      <c r="G65" s="307" t="s">
        <v>94</v>
      </c>
      <c r="H65" s="308">
        <v>937.97500000000002</v>
      </c>
      <c r="I65" s="308">
        <v>389.58300000000003</v>
      </c>
      <c r="J65" s="308">
        <v>7306.9080000000004</v>
      </c>
      <c r="K65" s="308">
        <v>8634.4660000000003</v>
      </c>
    </row>
    <row r="66" spans="1:11">
      <c r="A66" s="395" t="s">
        <v>95</v>
      </c>
      <c r="B66" s="396">
        <v>1268</v>
      </c>
      <c r="C66" s="396">
        <v>492.952</v>
      </c>
      <c r="D66" s="396">
        <v>9021.3960000000006</v>
      </c>
      <c r="E66" s="396">
        <v>10782.348</v>
      </c>
      <c r="G66" s="307" t="s">
        <v>95</v>
      </c>
      <c r="H66" s="308">
        <v>1268</v>
      </c>
      <c r="I66" s="308">
        <v>492.952</v>
      </c>
      <c r="J66" s="308">
        <v>9021.3960000000006</v>
      </c>
      <c r="K66" s="308">
        <v>10782.348</v>
      </c>
    </row>
    <row r="67" spans="1:11">
      <c r="A67" s="395" t="s">
        <v>96</v>
      </c>
      <c r="B67" s="396">
        <v>981.19999999999993</v>
      </c>
      <c r="C67" s="396">
        <v>424.83</v>
      </c>
      <c r="D67" s="396">
        <v>6951.2640000000001</v>
      </c>
      <c r="E67" s="396">
        <v>8357.2939999999999</v>
      </c>
      <c r="G67" s="307" t="s">
        <v>96</v>
      </c>
      <c r="H67" s="308">
        <v>981.19999999999993</v>
      </c>
      <c r="I67" s="308">
        <v>424.83</v>
      </c>
      <c r="J67" s="308">
        <v>6951.2640000000001</v>
      </c>
      <c r="K67" s="308">
        <v>8357.2939999999999</v>
      </c>
    </row>
    <row r="68" spans="1:11">
      <c r="A68" s="395" t="s">
        <v>97</v>
      </c>
      <c r="B68" s="396">
        <v>400.90100000000001</v>
      </c>
      <c r="C68" s="396">
        <v>155.09500000000003</v>
      </c>
      <c r="D68" s="396">
        <v>3459.2400000000002</v>
      </c>
      <c r="E68" s="396">
        <v>4015.2359999999999</v>
      </c>
      <c r="G68" s="307" t="s">
        <v>97</v>
      </c>
      <c r="H68" s="308">
        <v>400.90100000000001</v>
      </c>
      <c r="I68" s="308">
        <v>155.09500000000003</v>
      </c>
      <c r="J68" s="308">
        <v>3459.2400000000002</v>
      </c>
      <c r="K68" s="308">
        <v>4015.2359999999999</v>
      </c>
    </row>
    <row r="69" spans="1:11">
      <c r="A69" s="395" t="s">
        <v>98</v>
      </c>
      <c r="B69" s="396">
        <v>1010.853</v>
      </c>
      <c r="C69" s="396">
        <v>411.71600000000001</v>
      </c>
      <c r="D69" s="396">
        <v>6911.8389999999999</v>
      </c>
      <c r="E69" s="396">
        <v>8334.4079999999994</v>
      </c>
      <c r="G69" s="307" t="s">
        <v>98</v>
      </c>
      <c r="H69" s="308">
        <v>1010.853</v>
      </c>
      <c r="I69" s="308">
        <v>411.71600000000001</v>
      </c>
      <c r="J69" s="308">
        <v>6911.8389999999999</v>
      </c>
      <c r="K69" s="308">
        <v>8334.4079999999994</v>
      </c>
    </row>
    <row r="70" spans="1:11">
      <c r="A70" s="395" t="s">
        <v>99</v>
      </c>
      <c r="B70" s="396">
        <v>1578.9599999999998</v>
      </c>
      <c r="C70" s="396">
        <v>599.74699999999996</v>
      </c>
      <c r="D70" s="396">
        <v>11313.377999999999</v>
      </c>
      <c r="E70" s="396">
        <v>13492.084999999997</v>
      </c>
      <c r="G70" s="307" t="s">
        <v>99</v>
      </c>
      <c r="H70" s="308">
        <v>1578.9599999999998</v>
      </c>
      <c r="I70" s="308">
        <v>599.74699999999996</v>
      </c>
      <c r="J70" s="308">
        <v>11313.377999999999</v>
      </c>
      <c r="K70" s="308">
        <v>13492.084999999997</v>
      </c>
    </row>
    <row r="71" spans="1:11">
      <c r="A71" s="395" t="s">
        <v>100</v>
      </c>
      <c r="B71" s="396">
        <v>2850.232</v>
      </c>
      <c r="C71" s="396">
        <v>1502.1559999999999</v>
      </c>
      <c r="D71" s="396">
        <v>19182.588</v>
      </c>
      <c r="E71" s="396">
        <v>23534.975999999999</v>
      </c>
      <c r="G71" s="307" t="s">
        <v>100</v>
      </c>
      <c r="H71" s="308">
        <v>2850.232</v>
      </c>
      <c r="I71" s="308">
        <v>1502.1559999999999</v>
      </c>
      <c r="J71" s="308">
        <v>19182.588</v>
      </c>
      <c r="K71" s="308">
        <v>23534.975999999999</v>
      </c>
    </row>
    <row r="72" spans="1:11">
      <c r="A72" s="395" t="s">
        <v>101</v>
      </c>
      <c r="B72" s="396">
        <v>1303.9680000000001</v>
      </c>
      <c r="C72" s="396">
        <v>572.21600000000001</v>
      </c>
      <c r="D72" s="396">
        <v>9309.56</v>
      </c>
      <c r="E72" s="396">
        <v>11185.744000000001</v>
      </c>
      <c r="G72" s="307" t="s">
        <v>101</v>
      </c>
      <c r="H72" s="308">
        <v>1303.9680000000001</v>
      </c>
      <c r="I72" s="308">
        <v>572.21600000000001</v>
      </c>
      <c r="J72" s="308">
        <v>9309.56</v>
      </c>
      <c r="K72" s="308">
        <v>11185.744000000001</v>
      </c>
    </row>
    <row r="73" spans="1:11">
      <c r="A73" s="395" t="s">
        <v>102</v>
      </c>
      <c r="B73" s="396">
        <v>629.34</v>
      </c>
      <c r="C73" s="396">
        <v>257.33000000000004</v>
      </c>
      <c r="D73" s="396">
        <v>4447.415</v>
      </c>
      <c r="E73" s="396">
        <v>5334.085</v>
      </c>
      <c r="G73" s="307" t="s">
        <v>102</v>
      </c>
      <c r="H73" s="308">
        <v>629.34</v>
      </c>
      <c r="I73" s="308">
        <v>257.33000000000004</v>
      </c>
      <c r="J73" s="308">
        <v>4447.415</v>
      </c>
      <c r="K73" s="308">
        <v>5334.085</v>
      </c>
    </row>
    <row r="74" spans="1:11">
      <c r="A74" s="395" t="s">
        <v>103</v>
      </c>
      <c r="B74" s="396">
        <v>2258.7839999999997</v>
      </c>
      <c r="C74" s="396">
        <v>958.80400000000009</v>
      </c>
      <c r="D74" s="396">
        <v>16363.756000000001</v>
      </c>
      <c r="E74" s="396">
        <v>19581.344000000001</v>
      </c>
      <c r="G74" s="307" t="s">
        <v>103</v>
      </c>
      <c r="H74" s="308">
        <v>2258.7839999999997</v>
      </c>
      <c r="I74" s="308">
        <v>958.80400000000009</v>
      </c>
      <c r="J74" s="308">
        <v>16363.756000000001</v>
      </c>
      <c r="K74" s="308">
        <v>19581.344000000001</v>
      </c>
    </row>
    <row r="75" spans="1:11">
      <c r="A75" s="395" t="s">
        <v>104</v>
      </c>
      <c r="B75" s="396">
        <v>1500.9299999999998</v>
      </c>
      <c r="C75" s="396">
        <v>570.54999999999995</v>
      </c>
      <c r="D75" s="396">
        <v>10330.424000000001</v>
      </c>
      <c r="E75" s="396">
        <v>12401.904</v>
      </c>
      <c r="G75" s="307" t="s">
        <v>104</v>
      </c>
      <c r="H75" s="308">
        <v>1500.9299999999998</v>
      </c>
      <c r="I75" s="308">
        <v>570.54999999999995</v>
      </c>
      <c r="J75" s="308">
        <v>10330.424000000001</v>
      </c>
      <c r="K75" s="308">
        <v>12401.904</v>
      </c>
    </row>
    <row r="76" spans="1:11">
      <c r="A76" s="307"/>
      <c r="B76" s="308"/>
      <c r="C76" s="308"/>
      <c r="D76" s="308"/>
      <c r="E76" s="308"/>
      <c r="G76" s="307"/>
      <c r="H76" s="308"/>
      <c r="I76" s="308"/>
      <c r="J76" s="308"/>
      <c r="K76" s="308"/>
    </row>
    <row r="77" spans="1:11">
      <c r="A77" s="401" t="s">
        <v>19</v>
      </c>
      <c r="B77" s="402">
        <v>17455.418999999998</v>
      </c>
      <c r="C77" s="402">
        <v>6436.3029999999999</v>
      </c>
      <c r="D77" s="402">
        <v>129252.796</v>
      </c>
      <c r="E77" s="402">
        <v>153144.51799999998</v>
      </c>
      <c r="G77" s="309" t="s">
        <v>19</v>
      </c>
      <c r="H77" s="310">
        <v>17455.418999999998</v>
      </c>
      <c r="I77" s="310">
        <v>6436.3029999999999</v>
      </c>
      <c r="J77" s="310">
        <v>129252.796</v>
      </c>
      <c r="K77" s="310">
        <v>153144.51799999998</v>
      </c>
    </row>
    <row r="78" spans="1:11">
      <c r="A78" s="395" t="s">
        <v>105</v>
      </c>
      <c r="B78" s="396">
        <v>17455.418999999998</v>
      </c>
      <c r="C78" s="396">
        <v>6436.3029999999999</v>
      </c>
      <c r="D78" s="396">
        <v>129252.796</v>
      </c>
      <c r="E78" s="396">
        <v>153144.51799999998</v>
      </c>
      <c r="G78" s="307" t="s">
        <v>105</v>
      </c>
      <c r="H78" s="308">
        <v>17455.418999999998</v>
      </c>
      <c r="I78" s="308">
        <v>6436.3029999999999</v>
      </c>
      <c r="J78" s="308">
        <v>129252.796</v>
      </c>
      <c r="K78" s="308">
        <v>153144.51799999998</v>
      </c>
    </row>
    <row r="79" spans="1:11">
      <c r="A79" s="307"/>
      <c r="B79" s="308"/>
      <c r="C79" s="308"/>
      <c r="D79" s="308"/>
      <c r="E79" s="308"/>
      <c r="G79" s="307"/>
      <c r="H79" s="308"/>
      <c r="I79" s="308"/>
      <c r="J79" s="308"/>
      <c r="K79" s="308"/>
    </row>
    <row r="80" spans="1:11">
      <c r="A80" s="401" t="s">
        <v>20</v>
      </c>
      <c r="B80" s="402">
        <v>14077.001</v>
      </c>
      <c r="C80" s="402">
        <v>5872.7889999999998</v>
      </c>
      <c r="D80" s="402">
        <v>100762.85500000003</v>
      </c>
      <c r="E80" s="402">
        <v>120712.645</v>
      </c>
      <c r="G80" s="309" t="s">
        <v>20</v>
      </c>
      <c r="H80" s="310">
        <v>14077.001</v>
      </c>
      <c r="I80" s="310">
        <v>5872.7889999999998</v>
      </c>
      <c r="J80" s="310">
        <v>100762.85500000003</v>
      </c>
      <c r="K80" s="310">
        <v>120712.645</v>
      </c>
    </row>
    <row r="81" spans="1:11">
      <c r="A81" s="395" t="s">
        <v>106</v>
      </c>
      <c r="B81" s="396">
        <v>1312.48</v>
      </c>
      <c r="C81" s="396">
        <v>661.81700000000001</v>
      </c>
      <c r="D81" s="396">
        <v>9409.0920000000006</v>
      </c>
      <c r="E81" s="396">
        <v>11383.388999999999</v>
      </c>
      <c r="G81" s="307" t="s">
        <v>106</v>
      </c>
      <c r="H81" s="308">
        <v>1312.48</v>
      </c>
      <c r="I81" s="308">
        <v>661.81700000000001</v>
      </c>
      <c r="J81" s="308">
        <v>9409.0920000000006</v>
      </c>
      <c r="K81" s="308">
        <v>11383.388999999999</v>
      </c>
    </row>
    <row r="82" spans="1:11">
      <c r="A82" s="395" t="s">
        <v>107</v>
      </c>
      <c r="B82" s="396">
        <v>2418.5059999999999</v>
      </c>
      <c r="C82" s="396">
        <v>914.154</v>
      </c>
      <c r="D82" s="396">
        <v>15659.174999999999</v>
      </c>
      <c r="E82" s="396">
        <v>18991.834999999999</v>
      </c>
      <c r="G82" s="307" t="s">
        <v>107</v>
      </c>
      <c r="H82" s="308">
        <v>2418.5059999999999</v>
      </c>
      <c r="I82" s="308">
        <v>914.154</v>
      </c>
      <c r="J82" s="308">
        <v>15659.174999999999</v>
      </c>
      <c r="K82" s="308">
        <v>18991.834999999999</v>
      </c>
    </row>
    <row r="83" spans="1:11">
      <c r="A83" s="395" t="s">
        <v>108</v>
      </c>
      <c r="B83" s="396">
        <v>1469.953</v>
      </c>
      <c r="C83" s="396">
        <v>699.43700000000001</v>
      </c>
      <c r="D83" s="396">
        <v>10593.191000000001</v>
      </c>
      <c r="E83" s="396">
        <v>12762.581</v>
      </c>
      <c r="G83" s="307" t="s">
        <v>108</v>
      </c>
      <c r="H83" s="308">
        <v>1469.953</v>
      </c>
      <c r="I83" s="308">
        <v>699.43700000000001</v>
      </c>
      <c r="J83" s="308">
        <v>10593.191000000001</v>
      </c>
      <c r="K83" s="308">
        <v>12762.581</v>
      </c>
    </row>
    <row r="84" spans="1:11">
      <c r="A84" s="395" t="s">
        <v>109</v>
      </c>
      <c r="B84" s="396">
        <v>3293.52</v>
      </c>
      <c r="C84" s="396">
        <v>1359.367</v>
      </c>
      <c r="D84" s="396">
        <v>24795.638000000003</v>
      </c>
      <c r="E84" s="396">
        <v>29448.525000000001</v>
      </c>
      <c r="G84" s="307" t="s">
        <v>109</v>
      </c>
      <c r="H84" s="308">
        <v>3293.52</v>
      </c>
      <c r="I84" s="308">
        <v>1359.367</v>
      </c>
      <c r="J84" s="308">
        <v>24795.638000000003</v>
      </c>
      <c r="K84" s="308">
        <v>29448.525000000001</v>
      </c>
    </row>
    <row r="85" spans="1:11">
      <c r="A85" s="395" t="s">
        <v>110</v>
      </c>
      <c r="B85" s="396">
        <v>2628.3179999999998</v>
      </c>
      <c r="C85" s="396">
        <v>1021.128</v>
      </c>
      <c r="D85" s="396">
        <v>18214.905999999999</v>
      </c>
      <c r="E85" s="396">
        <v>21864.351999999999</v>
      </c>
      <c r="G85" s="307" t="s">
        <v>110</v>
      </c>
      <c r="H85" s="308">
        <v>2628.3179999999998</v>
      </c>
      <c r="I85" s="308">
        <v>1021.128</v>
      </c>
      <c r="J85" s="308">
        <v>18214.905999999999</v>
      </c>
      <c r="K85" s="308">
        <v>21864.351999999999</v>
      </c>
    </row>
    <row r="86" spans="1:11">
      <c r="A86" s="395" t="s">
        <v>111</v>
      </c>
      <c r="B86" s="396">
        <v>1163.104</v>
      </c>
      <c r="C86" s="396">
        <v>479.58100000000002</v>
      </c>
      <c r="D86" s="396">
        <v>9505.4750000000004</v>
      </c>
      <c r="E86" s="396">
        <v>11148.16</v>
      </c>
      <c r="G86" s="307" t="s">
        <v>111</v>
      </c>
      <c r="H86" s="308">
        <v>1163.104</v>
      </c>
      <c r="I86" s="308">
        <v>479.58100000000002</v>
      </c>
      <c r="J86" s="308">
        <v>9505.4750000000004</v>
      </c>
      <c r="K86" s="308">
        <v>11148.16</v>
      </c>
    </row>
    <row r="87" spans="1:11">
      <c r="A87" s="395" t="s">
        <v>112</v>
      </c>
      <c r="B87" s="396">
        <v>1190.5320000000002</v>
      </c>
      <c r="C87" s="396">
        <v>492.221</v>
      </c>
      <c r="D87" s="396">
        <v>8086.6530000000002</v>
      </c>
      <c r="E87" s="396">
        <v>9769.405999999999</v>
      </c>
      <c r="G87" s="307" t="s">
        <v>112</v>
      </c>
      <c r="H87" s="308">
        <v>1190.5320000000002</v>
      </c>
      <c r="I87" s="308">
        <v>492.221</v>
      </c>
      <c r="J87" s="308">
        <v>8086.6530000000002</v>
      </c>
      <c r="K87" s="308">
        <v>9769.405999999999</v>
      </c>
    </row>
    <row r="88" spans="1:11">
      <c r="A88" s="395" t="s">
        <v>113</v>
      </c>
      <c r="B88" s="396">
        <v>600.58800000000008</v>
      </c>
      <c r="C88" s="396">
        <v>245.084</v>
      </c>
      <c r="D88" s="396">
        <v>4498.7249999999995</v>
      </c>
      <c r="E88" s="396">
        <v>5344.396999999999</v>
      </c>
      <c r="G88" s="307" t="s">
        <v>113</v>
      </c>
      <c r="H88" s="308">
        <v>600.58800000000008</v>
      </c>
      <c r="I88" s="308">
        <v>245.084</v>
      </c>
      <c r="J88" s="308">
        <v>4498.7249999999995</v>
      </c>
      <c r="K88" s="308">
        <v>5344.396999999999</v>
      </c>
    </row>
    <row r="89" spans="1:11">
      <c r="A89" s="307"/>
      <c r="B89" s="308"/>
      <c r="C89" s="308"/>
      <c r="D89" s="308"/>
      <c r="E89" s="308"/>
      <c r="G89" s="307"/>
      <c r="H89" s="308"/>
      <c r="I89" s="308"/>
      <c r="J89" s="308"/>
      <c r="K89" s="308"/>
    </row>
    <row r="90" spans="1:11">
      <c r="A90" s="401" t="s">
        <v>21</v>
      </c>
      <c r="B90" s="402">
        <v>18421.758999999998</v>
      </c>
      <c r="C90" s="402">
        <v>8691.0220000000008</v>
      </c>
      <c r="D90" s="402">
        <v>131873.81099999999</v>
      </c>
      <c r="E90" s="402">
        <v>158986.59200000003</v>
      </c>
      <c r="G90" s="309" t="s">
        <v>21</v>
      </c>
      <c r="H90" s="310">
        <v>18421.758999999998</v>
      </c>
      <c r="I90" s="310">
        <v>8691.0220000000008</v>
      </c>
      <c r="J90" s="310">
        <v>131873.81099999999</v>
      </c>
      <c r="K90" s="310">
        <v>158986.59200000003</v>
      </c>
    </row>
    <row r="91" spans="1:11">
      <c r="A91" s="395" t="s">
        <v>114</v>
      </c>
      <c r="B91" s="396">
        <v>405.45000000000005</v>
      </c>
      <c r="C91" s="396">
        <v>205.38400000000001</v>
      </c>
      <c r="D91" s="396">
        <v>3658.116</v>
      </c>
      <c r="E91" s="396">
        <v>4268.95</v>
      </c>
      <c r="G91" s="307" t="s">
        <v>114</v>
      </c>
      <c r="H91" s="308">
        <v>405.45000000000005</v>
      </c>
      <c r="I91" s="308">
        <v>205.38400000000001</v>
      </c>
      <c r="J91" s="308">
        <v>3658.116</v>
      </c>
      <c r="K91" s="308">
        <v>4268.95</v>
      </c>
    </row>
    <row r="92" spans="1:11">
      <c r="A92" s="395" t="s">
        <v>115</v>
      </c>
      <c r="B92" s="396">
        <v>8247.2100000000009</v>
      </c>
      <c r="C92" s="396">
        <v>4555.7110000000002</v>
      </c>
      <c r="D92" s="396">
        <v>60608.289000000004</v>
      </c>
      <c r="E92" s="396">
        <v>73411.210000000006</v>
      </c>
      <c r="G92" s="307" t="s">
        <v>115</v>
      </c>
      <c r="H92" s="308">
        <v>8247.2100000000009</v>
      </c>
      <c r="I92" s="308">
        <v>4555.7110000000002</v>
      </c>
      <c r="J92" s="308">
        <v>60608.289000000004</v>
      </c>
      <c r="K92" s="308">
        <v>73411.210000000006</v>
      </c>
    </row>
    <row r="93" spans="1:11">
      <c r="A93" s="395" t="s">
        <v>116</v>
      </c>
      <c r="B93" s="396">
        <v>2437.7150000000001</v>
      </c>
      <c r="C93" s="396">
        <v>1046.6320000000001</v>
      </c>
      <c r="D93" s="396">
        <v>17107.442999999999</v>
      </c>
      <c r="E93" s="396">
        <v>20591.79</v>
      </c>
      <c r="G93" s="307" t="s">
        <v>116</v>
      </c>
      <c r="H93" s="308">
        <v>2437.7150000000001</v>
      </c>
      <c r="I93" s="308">
        <v>1046.6320000000001</v>
      </c>
      <c r="J93" s="308">
        <v>17107.442999999999</v>
      </c>
      <c r="K93" s="308">
        <v>20591.79</v>
      </c>
    </row>
    <row r="94" spans="1:11">
      <c r="A94" s="395" t="s">
        <v>117</v>
      </c>
      <c r="B94" s="396">
        <v>1119.5359999999998</v>
      </c>
      <c r="C94" s="396">
        <v>406.06500000000005</v>
      </c>
      <c r="D94" s="396">
        <v>7916.4520000000002</v>
      </c>
      <c r="E94" s="396">
        <v>9442.0529999999999</v>
      </c>
      <c r="G94" s="307" t="s">
        <v>117</v>
      </c>
      <c r="H94" s="308">
        <v>1119.5359999999998</v>
      </c>
      <c r="I94" s="308">
        <v>406.06500000000005</v>
      </c>
      <c r="J94" s="308">
        <v>7916.4520000000002</v>
      </c>
      <c r="K94" s="308">
        <v>9442.0529999999999</v>
      </c>
    </row>
    <row r="95" spans="1:11">
      <c r="A95" s="395" t="s">
        <v>118</v>
      </c>
      <c r="B95" s="396">
        <v>1185.6220000000001</v>
      </c>
      <c r="C95" s="396">
        <v>421.73399999999998</v>
      </c>
      <c r="D95" s="396">
        <v>7436.5560000000005</v>
      </c>
      <c r="E95" s="396">
        <v>9043.9120000000003</v>
      </c>
      <c r="G95" s="307" t="s">
        <v>118</v>
      </c>
      <c r="H95" s="308">
        <v>1185.6220000000001</v>
      </c>
      <c r="I95" s="308">
        <v>421.73399999999998</v>
      </c>
      <c r="J95" s="308">
        <v>7436.5560000000005</v>
      </c>
      <c r="K95" s="308">
        <v>9043.9120000000003</v>
      </c>
    </row>
    <row r="96" spans="1:11">
      <c r="A96" s="395" t="s">
        <v>119</v>
      </c>
      <c r="B96" s="396">
        <v>521.26499999999999</v>
      </c>
      <c r="C96" s="396">
        <v>223.13</v>
      </c>
      <c r="D96" s="396">
        <v>3460.5</v>
      </c>
      <c r="E96" s="396">
        <v>4204.8950000000004</v>
      </c>
      <c r="G96" s="307" t="s">
        <v>119</v>
      </c>
      <c r="H96" s="308">
        <v>521.26499999999999</v>
      </c>
      <c r="I96" s="308">
        <v>223.13</v>
      </c>
      <c r="J96" s="308">
        <v>3460.5</v>
      </c>
      <c r="K96" s="308">
        <v>4204.8950000000004</v>
      </c>
    </row>
    <row r="97" spans="1:11">
      <c r="A97" s="395" t="s">
        <v>120</v>
      </c>
      <c r="B97" s="396">
        <v>1321.04</v>
      </c>
      <c r="C97" s="396">
        <v>461.61500000000001</v>
      </c>
      <c r="D97" s="396">
        <v>9179.625</v>
      </c>
      <c r="E97" s="396">
        <v>10962.279999999999</v>
      </c>
      <c r="G97" s="307" t="s">
        <v>120</v>
      </c>
      <c r="H97" s="308">
        <v>1321.04</v>
      </c>
      <c r="I97" s="308">
        <v>461.61500000000001</v>
      </c>
      <c r="J97" s="308">
        <v>9179.625</v>
      </c>
      <c r="K97" s="308">
        <v>10962.279999999999</v>
      </c>
    </row>
    <row r="98" spans="1:11">
      <c r="A98" s="395" t="s">
        <v>121</v>
      </c>
      <c r="B98" s="396">
        <v>2378.5309999999999</v>
      </c>
      <c r="C98" s="396">
        <v>981.35699999999997</v>
      </c>
      <c r="D98" s="396">
        <v>16600.489999999998</v>
      </c>
      <c r="E98" s="396">
        <v>19960.377999999997</v>
      </c>
      <c r="G98" s="307" t="s">
        <v>121</v>
      </c>
      <c r="H98" s="308">
        <v>2378.5309999999999</v>
      </c>
      <c r="I98" s="308">
        <v>981.35699999999997</v>
      </c>
      <c r="J98" s="308">
        <v>16600.489999999998</v>
      </c>
      <c r="K98" s="308">
        <v>19960.377999999997</v>
      </c>
    </row>
    <row r="99" spans="1:11">
      <c r="A99" s="395" t="s">
        <v>122</v>
      </c>
      <c r="B99" s="396">
        <v>805.39</v>
      </c>
      <c r="C99" s="396">
        <v>389.39400000000001</v>
      </c>
      <c r="D99" s="396">
        <v>5906.34</v>
      </c>
      <c r="E99" s="396">
        <v>7101.1240000000007</v>
      </c>
      <c r="G99" s="307" t="s">
        <v>122</v>
      </c>
      <c r="H99" s="308">
        <v>805.39</v>
      </c>
      <c r="I99" s="308">
        <v>389.39400000000001</v>
      </c>
      <c r="J99" s="308">
        <v>5906.34</v>
      </c>
      <c r="K99" s="308">
        <v>7101.1240000000007</v>
      </c>
    </row>
    <row r="100" spans="1:11">
      <c r="A100" s="307"/>
      <c r="B100" s="308"/>
      <c r="C100" s="308"/>
      <c r="D100" s="308"/>
      <c r="E100" s="308"/>
      <c r="G100" s="307"/>
      <c r="H100" s="308"/>
      <c r="I100" s="308"/>
      <c r="J100" s="308"/>
      <c r="K100" s="308"/>
    </row>
    <row r="101" spans="1:11">
      <c r="A101" s="401" t="s">
        <v>295</v>
      </c>
      <c r="B101" s="402">
        <v>7008.7340000000013</v>
      </c>
      <c r="C101" s="402">
        <v>4694.6120000000001</v>
      </c>
      <c r="D101" s="402">
        <v>58929.74700000001</v>
      </c>
      <c r="E101" s="402">
        <v>70633.092999999993</v>
      </c>
      <c r="G101" s="309" t="s">
        <v>295</v>
      </c>
      <c r="H101" s="310">
        <v>14034.249999999998</v>
      </c>
      <c r="I101" s="310">
        <v>7480.0990000000002</v>
      </c>
      <c r="J101" s="310">
        <v>116417.99599999998</v>
      </c>
      <c r="K101" s="310">
        <v>137932.345</v>
      </c>
    </row>
    <row r="102" spans="1:11">
      <c r="A102" s="395" t="s">
        <v>123</v>
      </c>
      <c r="B102" s="396">
        <v>520.75199999999995</v>
      </c>
      <c r="C102" s="396">
        <v>206.55</v>
      </c>
      <c r="D102" s="396">
        <v>4199.91</v>
      </c>
      <c r="E102" s="396">
        <v>4927.2119999999995</v>
      </c>
      <c r="G102" s="307" t="s">
        <v>123</v>
      </c>
      <c r="H102" s="308">
        <v>520.75199999999995</v>
      </c>
      <c r="I102" s="308">
        <v>206.55</v>
      </c>
      <c r="J102" s="308">
        <v>4199.91</v>
      </c>
      <c r="K102" s="308">
        <v>4927.2119999999995</v>
      </c>
    </row>
    <row r="103" spans="1:11">
      <c r="A103" s="395" t="s">
        <v>124</v>
      </c>
      <c r="B103" s="396">
        <v>154.42499999999998</v>
      </c>
      <c r="C103" s="396">
        <v>67.643999999999991</v>
      </c>
      <c r="D103" s="396">
        <v>1278.288</v>
      </c>
      <c r="E103" s="396">
        <v>1500.357</v>
      </c>
      <c r="G103" s="307" t="s">
        <v>124</v>
      </c>
      <c r="H103" s="308">
        <v>154.42499999999998</v>
      </c>
      <c r="I103" s="308">
        <v>67.643999999999991</v>
      </c>
      <c r="J103" s="308">
        <v>1278.288</v>
      </c>
      <c r="K103" s="308">
        <v>1500.357</v>
      </c>
    </row>
    <row r="104" spans="1:11">
      <c r="A104" s="395" t="s">
        <v>125</v>
      </c>
      <c r="B104" s="396">
        <v>341.16399999999999</v>
      </c>
      <c r="C104" s="396">
        <v>130.14500000000001</v>
      </c>
      <c r="D104" s="396">
        <v>3010.357</v>
      </c>
      <c r="E104" s="396">
        <v>3481.6660000000002</v>
      </c>
      <c r="G104" s="307" t="s">
        <v>125</v>
      </c>
      <c r="H104" s="308">
        <v>341.16399999999999</v>
      </c>
      <c r="I104" s="308">
        <v>130.14500000000001</v>
      </c>
      <c r="J104" s="308">
        <v>3010.357</v>
      </c>
      <c r="K104" s="308">
        <v>3481.6660000000002</v>
      </c>
    </row>
    <row r="105" spans="1:11">
      <c r="A105" s="395" t="s">
        <v>126</v>
      </c>
      <c r="B105" s="396">
        <v>201.63800000000001</v>
      </c>
      <c r="C105" s="396">
        <v>111.233</v>
      </c>
      <c r="D105" s="396">
        <v>2289.9829999999997</v>
      </c>
      <c r="E105" s="396">
        <v>2602.8539999999998</v>
      </c>
      <c r="G105" s="307" t="s">
        <v>126</v>
      </c>
      <c r="H105" s="308">
        <v>201.63800000000001</v>
      </c>
      <c r="I105" s="308">
        <v>111.233</v>
      </c>
      <c r="J105" s="308">
        <v>2289.9829999999997</v>
      </c>
      <c r="K105" s="308">
        <v>2602.8539999999998</v>
      </c>
    </row>
    <row r="106" spans="1:11">
      <c r="A106" s="395" t="s">
        <v>128</v>
      </c>
      <c r="B106" s="396">
        <v>1169.4759999999999</v>
      </c>
      <c r="C106" s="396">
        <v>521.351</v>
      </c>
      <c r="D106" s="396">
        <v>8792.7780000000002</v>
      </c>
      <c r="E106" s="396">
        <v>10483.605000000001</v>
      </c>
      <c r="G106" s="307" t="s">
        <v>127</v>
      </c>
      <c r="H106" s="308">
        <v>3189.5709999999999</v>
      </c>
      <c r="I106" s="308">
        <v>1305.9829999999999</v>
      </c>
      <c r="J106" s="308">
        <v>27246.244999999999</v>
      </c>
      <c r="K106" s="308">
        <v>31741.798999999999</v>
      </c>
    </row>
    <row r="107" spans="1:11">
      <c r="A107" s="395" t="s">
        <v>129</v>
      </c>
      <c r="B107" s="396">
        <v>340.56900000000002</v>
      </c>
      <c r="C107" s="396">
        <v>117.17499999999998</v>
      </c>
      <c r="D107" s="396">
        <v>2441.0239999999999</v>
      </c>
      <c r="E107" s="396">
        <v>2898.768</v>
      </c>
      <c r="G107" s="307" t="s">
        <v>128</v>
      </c>
      <c r="H107" s="308">
        <v>1169.4759999999999</v>
      </c>
      <c r="I107" s="308">
        <v>521.351</v>
      </c>
      <c r="J107" s="308">
        <v>8792.7780000000002</v>
      </c>
      <c r="K107" s="308">
        <v>10483.605000000001</v>
      </c>
    </row>
    <row r="108" spans="1:11">
      <c r="A108" s="395" t="s">
        <v>130</v>
      </c>
      <c r="B108" s="396">
        <v>125.324</v>
      </c>
      <c r="C108" s="396">
        <v>45.602000000000004</v>
      </c>
      <c r="D108" s="396">
        <v>1035.98</v>
      </c>
      <c r="E108" s="396">
        <v>1206.9060000000002</v>
      </c>
      <c r="G108" s="307" t="s">
        <v>129</v>
      </c>
      <c r="H108" s="308">
        <v>340.56900000000002</v>
      </c>
      <c r="I108" s="308">
        <v>117.17499999999998</v>
      </c>
      <c r="J108" s="308">
        <v>2441.0239999999999</v>
      </c>
      <c r="K108" s="308">
        <v>2898.768</v>
      </c>
    </row>
    <row r="109" spans="1:11">
      <c r="A109" s="395" t="s">
        <v>131</v>
      </c>
      <c r="B109" s="396">
        <v>127.664</v>
      </c>
      <c r="C109" s="396">
        <v>51.325999999999993</v>
      </c>
      <c r="D109" s="396">
        <v>984.3</v>
      </c>
      <c r="E109" s="396">
        <v>1163.29</v>
      </c>
      <c r="G109" s="307" t="s">
        <v>130</v>
      </c>
      <c r="H109" s="308">
        <v>125.324</v>
      </c>
      <c r="I109" s="308">
        <v>45.602000000000004</v>
      </c>
      <c r="J109" s="308">
        <v>1035.98</v>
      </c>
      <c r="K109" s="308">
        <v>1206.9060000000002</v>
      </c>
    </row>
    <row r="110" spans="1:11">
      <c r="A110" s="395" t="s">
        <v>132</v>
      </c>
      <c r="B110" s="396">
        <v>704.99799999999993</v>
      </c>
      <c r="C110" s="396">
        <v>283.02599999999995</v>
      </c>
      <c r="D110" s="396">
        <v>5903.28</v>
      </c>
      <c r="E110" s="396">
        <v>6891.3039999999992</v>
      </c>
      <c r="G110" s="307" t="s">
        <v>131</v>
      </c>
      <c r="H110" s="308">
        <v>127.664</v>
      </c>
      <c r="I110" s="308">
        <v>51.325999999999993</v>
      </c>
      <c r="J110" s="308">
        <v>984.3</v>
      </c>
      <c r="K110" s="308">
        <v>1163.29</v>
      </c>
    </row>
    <row r="111" spans="1:11">
      <c r="A111" s="395" t="s">
        <v>134</v>
      </c>
      <c r="B111" s="396">
        <v>502.399</v>
      </c>
      <c r="C111" s="396">
        <v>678.75499999999988</v>
      </c>
      <c r="D111" s="396">
        <v>4722.3440000000001</v>
      </c>
      <c r="E111" s="396">
        <v>5903.4980000000005</v>
      </c>
      <c r="G111" s="307" t="s">
        <v>132</v>
      </c>
      <c r="H111" s="308">
        <v>704.99799999999993</v>
      </c>
      <c r="I111" s="308">
        <v>283.02599999999995</v>
      </c>
      <c r="J111" s="308">
        <v>5903.28</v>
      </c>
      <c r="K111" s="308">
        <v>6891.3039999999992</v>
      </c>
    </row>
    <row r="112" spans="1:11">
      <c r="A112" s="395" t="s">
        <v>135</v>
      </c>
      <c r="B112" s="396">
        <v>442.584</v>
      </c>
      <c r="C112" s="396">
        <v>168.33599999999998</v>
      </c>
      <c r="D112" s="396">
        <v>3454.23</v>
      </c>
      <c r="E112" s="396">
        <v>4065.1499999999996</v>
      </c>
      <c r="G112" s="307" t="s">
        <v>133</v>
      </c>
      <c r="H112" s="308">
        <v>1531.8420000000001</v>
      </c>
      <c r="I112" s="308">
        <v>483.28200000000004</v>
      </c>
      <c r="J112" s="308">
        <v>11487.2</v>
      </c>
      <c r="K112" s="308">
        <v>13502.324000000001</v>
      </c>
    </row>
    <row r="113" spans="1:11">
      <c r="A113" s="395" t="s">
        <v>137</v>
      </c>
      <c r="B113" s="396">
        <v>636.40200000000004</v>
      </c>
      <c r="C113" s="396">
        <v>230.71200000000002</v>
      </c>
      <c r="D113" s="396">
        <v>4923.6390000000001</v>
      </c>
      <c r="E113" s="396">
        <v>5790.7530000000006</v>
      </c>
      <c r="G113" s="307" t="s">
        <v>134</v>
      </c>
      <c r="H113" s="308">
        <v>502.399</v>
      </c>
      <c r="I113" s="308">
        <v>678.75499999999988</v>
      </c>
      <c r="J113" s="308">
        <v>4722.3440000000001</v>
      </c>
      <c r="K113" s="308">
        <v>5903.4980000000005</v>
      </c>
    </row>
    <row r="114" spans="1:11">
      <c r="A114" s="395" t="s">
        <v>141</v>
      </c>
      <c r="B114" s="396">
        <v>265.92599999999999</v>
      </c>
      <c r="C114" s="396">
        <v>87.23599999999999</v>
      </c>
      <c r="D114" s="396">
        <v>1772.1220000000001</v>
      </c>
      <c r="E114" s="396">
        <v>2125.2840000000001</v>
      </c>
      <c r="G114" s="307" t="s">
        <v>135</v>
      </c>
      <c r="H114" s="308">
        <v>442.584</v>
      </c>
      <c r="I114" s="308">
        <v>168.33599999999998</v>
      </c>
      <c r="J114" s="308">
        <v>3454.23</v>
      </c>
      <c r="K114" s="308">
        <v>4065.1499999999996</v>
      </c>
    </row>
    <row r="115" spans="1:11">
      <c r="A115" s="395" t="s">
        <v>143</v>
      </c>
      <c r="B115" s="396">
        <v>480.57300000000004</v>
      </c>
      <c r="C115" s="396">
        <v>1620.4079999999999</v>
      </c>
      <c r="D115" s="396">
        <v>6551.3360000000002</v>
      </c>
      <c r="E115" s="396">
        <v>8652.3170000000009</v>
      </c>
      <c r="G115" s="307" t="s">
        <v>136</v>
      </c>
      <c r="H115" s="308">
        <v>262.72499999999997</v>
      </c>
      <c r="I115" s="308">
        <v>178.59</v>
      </c>
      <c r="J115" s="308">
        <v>2317.8240000000001</v>
      </c>
      <c r="K115" s="308">
        <v>2759.1390000000001</v>
      </c>
    </row>
    <row r="116" spans="1:11">
      <c r="A116" s="395" t="s">
        <v>144</v>
      </c>
      <c r="B116" s="396">
        <v>994.84</v>
      </c>
      <c r="C116" s="396">
        <v>375.113</v>
      </c>
      <c r="D116" s="396">
        <v>7570.1760000000004</v>
      </c>
      <c r="E116" s="396">
        <v>8940.1290000000008</v>
      </c>
      <c r="G116" s="307" t="s">
        <v>137</v>
      </c>
      <c r="H116" s="308">
        <v>636.40200000000004</v>
      </c>
      <c r="I116" s="308">
        <v>230.71200000000002</v>
      </c>
      <c r="J116" s="308">
        <v>4923.6390000000001</v>
      </c>
      <c r="K116" s="308">
        <v>5790.7530000000006</v>
      </c>
    </row>
    <row r="117" spans="1:11">
      <c r="A117" s="307"/>
      <c r="B117" s="308"/>
      <c r="C117" s="308"/>
      <c r="D117" s="308"/>
      <c r="E117" s="308"/>
      <c r="G117" s="307" t="s">
        <v>138</v>
      </c>
      <c r="H117" s="308">
        <v>184.29999999999998</v>
      </c>
      <c r="I117" s="308">
        <v>68.445999999999998</v>
      </c>
      <c r="J117" s="308">
        <v>1612.6880000000001</v>
      </c>
      <c r="K117" s="308">
        <v>1865.434</v>
      </c>
    </row>
    <row r="118" spans="1:11">
      <c r="A118" s="401" t="s">
        <v>22</v>
      </c>
      <c r="B118" s="402">
        <v>7025.5159999999996</v>
      </c>
      <c r="C118" s="402">
        <v>2785.4870000000001</v>
      </c>
      <c r="D118" s="402">
        <v>57488.249000000003</v>
      </c>
      <c r="E118" s="402">
        <v>67299.252000000008</v>
      </c>
      <c r="G118" s="307" t="s">
        <v>139</v>
      </c>
      <c r="H118" s="308">
        <v>252.08</v>
      </c>
      <c r="I118" s="308">
        <v>91.171999999999997</v>
      </c>
      <c r="J118" s="308">
        <v>1977.7380000000001</v>
      </c>
      <c r="K118" s="308">
        <v>2320.9899999999998</v>
      </c>
    </row>
    <row r="119" spans="1:11">
      <c r="A119" s="395" t="s">
        <v>127</v>
      </c>
      <c r="B119" s="396">
        <v>3189.5709999999999</v>
      </c>
      <c r="C119" s="396">
        <v>1305.9829999999999</v>
      </c>
      <c r="D119" s="396">
        <v>27246.244999999999</v>
      </c>
      <c r="E119" s="396">
        <v>31741.798999999999</v>
      </c>
      <c r="G119" s="307" t="s">
        <v>140</v>
      </c>
      <c r="H119" s="308">
        <v>998.79700000000003</v>
      </c>
      <c r="I119" s="308">
        <v>387.10599999999999</v>
      </c>
      <c r="J119" s="308">
        <v>7786.4940000000006</v>
      </c>
      <c r="K119" s="308">
        <v>9172.3970000000008</v>
      </c>
    </row>
    <row r="120" spans="1:11">
      <c r="A120" s="395" t="s">
        <v>133</v>
      </c>
      <c r="B120" s="396">
        <v>1531.8420000000001</v>
      </c>
      <c r="C120" s="396">
        <v>483.28200000000004</v>
      </c>
      <c r="D120" s="396">
        <v>11487.2</v>
      </c>
      <c r="E120" s="396">
        <v>13502.324000000001</v>
      </c>
      <c r="G120" s="307" t="s">
        <v>141</v>
      </c>
      <c r="H120" s="308">
        <v>265.92599999999999</v>
      </c>
      <c r="I120" s="308">
        <v>87.23599999999999</v>
      </c>
      <c r="J120" s="308">
        <v>1772.1220000000001</v>
      </c>
      <c r="K120" s="308">
        <v>2125.2840000000001</v>
      </c>
    </row>
    <row r="121" spans="1:11">
      <c r="A121" s="395" t="s">
        <v>136</v>
      </c>
      <c r="B121" s="396">
        <v>262.72499999999997</v>
      </c>
      <c r="C121" s="396">
        <v>178.59</v>
      </c>
      <c r="D121" s="396">
        <v>2317.8240000000001</v>
      </c>
      <c r="E121" s="396">
        <v>2759.1390000000001</v>
      </c>
      <c r="G121" s="307" t="s">
        <v>142</v>
      </c>
      <c r="H121" s="308">
        <v>375.83699999999999</v>
      </c>
      <c r="I121" s="308">
        <v>180.108</v>
      </c>
      <c r="J121" s="308">
        <v>3093.94</v>
      </c>
      <c r="K121" s="308">
        <v>3649.8850000000002</v>
      </c>
    </row>
    <row r="122" spans="1:11">
      <c r="A122" s="395" t="s">
        <v>138</v>
      </c>
      <c r="B122" s="396">
        <v>184.29999999999998</v>
      </c>
      <c r="C122" s="396">
        <v>68.445999999999998</v>
      </c>
      <c r="D122" s="396">
        <v>1612.6880000000001</v>
      </c>
      <c r="E122" s="396">
        <v>1865.434</v>
      </c>
      <c r="G122" s="307" t="s">
        <v>143</v>
      </c>
      <c r="H122" s="308">
        <v>480.57300000000004</v>
      </c>
      <c r="I122" s="308">
        <v>1620.4079999999999</v>
      </c>
      <c r="J122" s="308">
        <v>6551.3360000000002</v>
      </c>
      <c r="K122" s="308">
        <v>8652.3170000000009</v>
      </c>
    </row>
    <row r="123" spans="1:11">
      <c r="A123" s="395" t="s">
        <v>139</v>
      </c>
      <c r="B123" s="396">
        <v>252.08</v>
      </c>
      <c r="C123" s="396">
        <v>91.171999999999997</v>
      </c>
      <c r="D123" s="396">
        <v>1977.7380000000001</v>
      </c>
      <c r="E123" s="396">
        <v>2320.9899999999998</v>
      </c>
      <c r="G123" s="307" t="s">
        <v>144</v>
      </c>
      <c r="H123" s="308">
        <v>994.84</v>
      </c>
      <c r="I123" s="308">
        <v>375.113</v>
      </c>
      <c r="J123" s="308">
        <v>7570.1760000000004</v>
      </c>
      <c r="K123" s="308">
        <v>8940.1290000000008</v>
      </c>
    </row>
    <row r="124" spans="1:11">
      <c r="A124" s="395" t="s">
        <v>140</v>
      </c>
      <c r="B124" s="396">
        <v>998.79700000000003</v>
      </c>
      <c r="C124" s="396">
        <v>387.10599999999999</v>
      </c>
      <c r="D124" s="396">
        <v>7786.4940000000006</v>
      </c>
      <c r="E124" s="396">
        <v>9172.3970000000008</v>
      </c>
      <c r="G124" s="307" t="s">
        <v>145</v>
      </c>
      <c r="H124" s="308">
        <v>230.364</v>
      </c>
      <c r="I124" s="308">
        <v>90.800000000000011</v>
      </c>
      <c r="J124" s="308">
        <v>1966.1200000000001</v>
      </c>
      <c r="K124" s="308">
        <v>2287.2840000000001</v>
      </c>
    </row>
    <row r="125" spans="1:11">
      <c r="A125" s="395" t="s">
        <v>142</v>
      </c>
      <c r="B125" s="396">
        <v>375.83699999999999</v>
      </c>
      <c r="C125" s="396">
        <v>180.108</v>
      </c>
      <c r="D125" s="396">
        <v>3093.94</v>
      </c>
      <c r="E125" s="396">
        <v>3649.8850000000002</v>
      </c>
      <c r="G125" s="307"/>
      <c r="H125" s="308"/>
      <c r="I125" s="308"/>
      <c r="J125" s="308"/>
      <c r="K125" s="308"/>
    </row>
    <row r="126" spans="1:11">
      <c r="A126" s="395" t="s">
        <v>145</v>
      </c>
      <c r="B126" s="396">
        <v>230.364</v>
      </c>
      <c r="C126" s="396">
        <v>90.800000000000011</v>
      </c>
      <c r="D126" s="396">
        <v>1966.1200000000001</v>
      </c>
      <c r="E126" s="396">
        <v>2287.2840000000001</v>
      </c>
      <c r="G126" s="309" t="s">
        <v>301</v>
      </c>
      <c r="H126" s="310">
        <v>161025.07799999992</v>
      </c>
      <c r="I126" s="310">
        <v>74090.549999999988</v>
      </c>
      <c r="J126" s="310">
        <v>1199611.8020000004</v>
      </c>
      <c r="K126" s="310">
        <v>1434727.4299999995</v>
      </c>
    </row>
    <row r="127" spans="1:11">
      <c r="A127" s="307"/>
      <c r="B127" s="308"/>
      <c r="C127" s="308"/>
      <c r="D127" s="308"/>
      <c r="E127" s="308"/>
      <c r="G127"/>
      <c r="H127"/>
      <c r="I127"/>
      <c r="J127"/>
      <c r="K127"/>
    </row>
    <row r="128" spans="1:11">
      <c r="A128" s="403" t="s">
        <v>301</v>
      </c>
      <c r="B128" s="404">
        <v>161025.07799999992</v>
      </c>
      <c r="C128" s="404">
        <v>74090.549999999988</v>
      </c>
      <c r="D128" s="404">
        <v>1199611.8020000004</v>
      </c>
      <c r="E128" s="404">
        <v>1434727.4299999995</v>
      </c>
      <c r="G128"/>
      <c r="H128"/>
      <c r="I128"/>
      <c r="J128"/>
      <c r="K128"/>
    </row>
  </sheetData>
  <sheetProtection sheet="1" objects="1" scenarios="1"/>
  <pageMargins left="0.3" right="0.3" top="0.5" bottom="0.5" header="0.3" footer="0.3"/>
  <pageSetup scale="80" fitToHeight="2" orientation="portrait"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V111"/>
  <sheetViews>
    <sheetView showGridLines="0" zoomScale="80" zoomScaleNormal="80" workbookViewId="0">
      <pane xSplit="1" ySplit="5" topLeftCell="B6" activePane="bottomRight" state="frozen"/>
      <selection activeCell="B6" sqref="B6"/>
      <selection pane="topRight" activeCell="B6" sqref="B6"/>
      <selection pane="bottomLeft" activeCell="B6" sqref="B6"/>
      <selection pane="bottomRight" activeCell="B12" sqref="B12"/>
    </sheetView>
  </sheetViews>
  <sheetFormatPr defaultRowHeight="14.25"/>
  <cols>
    <col min="1" max="1" width="21.5703125" style="247" customWidth="1"/>
    <col min="2" max="2" width="43.5703125" style="246" customWidth="1"/>
    <col min="3" max="3" width="12.42578125" style="289" customWidth="1"/>
    <col min="4" max="11" width="15.5703125" style="246" customWidth="1"/>
    <col min="12" max="16" width="16.42578125" style="246" customWidth="1"/>
    <col min="17" max="18" width="16.42578125" style="246" hidden="1" customWidth="1"/>
    <col min="19" max="20" width="16.42578125" style="246" customWidth="1"/>
    <col min="21" max="21" width="16.42578125" style="246" hidden="1" customWidth="1"/>
    <col min="22" max="22" width="16.42578125" style="246" customWidth="1"/>
    <col min="23" max="16384" width="9.140625" style="246"/>
  </cols>
  <sheetData>
    <row r="1" spans="1:22" ht="20.100000000000001" customHeight="1">
      <c r="A1" s="388" t="s">
        <v>427</v>
      </c>
      <c r="B1" s="389"/>
      <c r="C1" s="389"/>
      <c r="D1" s="389"/>
      <c r="E1" s="389"/>
      <c r="F1" s="389"/>
      <c r="G1" s="389"/>
      <c r="H1" s="389"/>
      <c r="I1" s="389"/>
      <c r="J1" s="389"/>
      <c r="K1" s="389"/>
      <c r="L1" s="389"/>
      <c r="M1" s="389"/>
      <c r="N1" s="389"/>
      <c r="O1" s="389"/>
      <c r="P1" s="389"/>
      <c r="Q1" s="389"/>
      <c r="R1" s="389"/>
      <c r="S1" s="389"/>
      <c r="T1" s="389"/>
      <c r="U1" s="389"/>
      <c r="V1" s="389"/>
    </row>
    <row r="2" spans="1:22" ht="24.95" customHeight="1">
      <c r="A2" s="244" t="s">
        <v>456</v>
      </c>
      <c r="B2" s="245"/>
      <c r="C2" s="245"/>
      <c r="D2" s="245"/>
      <c r="E2" s="245"/>
      <c r="F2" s="245"/>
      <c r="G2" s="245"/>
      <c r="H2" s="245"/>
      <c r="I2" s="245"/>
      <c r="J2" s="245"/>
      <c r="K2" s="245"/>
      <c r="L2" s="245"/>
      <c r="M2" s="245"/>
      <c r="N2" s="245"/>
      <c r="O2" s="245"/>
      <c r="P2" s="245"/>
      <c r="Q2" s="304"/>
      <c r="R2" s="305"/>
      <c r="S2" s="244"/>
      <c r="T2" s="244"/>
      <c r="U2" s="305"/>
      <c r="V2" s="245"/>
    </row>
    <row r="3" spans="1:22" s="302" customFormat="1" ht="24.95" customHeight="1" thickBot="1">
      <c r="A3" s="302">
        <v>1</v>
      </c>
      <c r="B3" s="302">
        <v>2</v>
      </c>
      <c r="C3" s="302">
        <v>3</v>
      </c>
      <c r="D3" s="302">
        <v>4</v>
      </c>
      <c r="E3" s="302">
        <v>5</v>
      </c>
      <c r="F3" s="302">
        <v>6</v>
      </c>
      <c r="G3" s="302">
        <v>7</v>
      </c>
      <c r="H3" s="302">
        <v>8</v>
      </c>
      <c r="I3" s="302">
        <v>9</v>
      </c>
      <c r="J3" s="302">
        <v>10</v>
      </c>
      <c r="K3" s="302">
        <v>11</v>
      </c>
      <c r="L3" s="302">
        <v>12</v>
      </c>
      <c r="M3" s="302">
        <v>13</v>
      </c>
      <c r="N3" s="302">
        <v>14</v>
      </c>
      <c r="O3" s="302">
        <v>15</v>
      </c>
      <c r="P3" s="302">
        <v>16</v>
      </c>
      <c r="Q3" s="302">
        <v>17</v>
      </c>
      <c r="R3" s="302">
        <v>18</v>
      </c>
      <c r="S3" s="302">
        <v>19</v>
      </c>
      <c r="T3" s="302">
        <v>20</v>
      </c>
      <c r="U3" s="303">
        <v>21</v>
      </c>
      <c r="V3" s="302">
        <v>22</v>
      </c>
    </row>
    <row r="4" spans="1:22" ht="24.95" customHeight="1" thickTop="1">
      <c r="B4" s="245"/>
      <c r="C4" s="245"/>
      <c r="D4" s="248" t="s">
        <v>457</v>
      </c>
      <c r="E4" s="249"/>
      <c r="F4" s="250"/>
      <c r="G4" s="250"/>
      <c r="H4" s="250"/>
      <c r="I4" s="250"/>
      <c r="J4" s="250"/>
      <c r="K4" s="251"/>
      <c r="L4" s="252" t="s">
        <v>269</v>
      </c>
      <c r="M4" s="253"/>
      <c r="N4" s="254"/>
      <c r="O4" s="252" t="s">
        <v>458</v>
      </c>
      <c r="P4" s="253"/>
      <c r="Q4" s="253"/>
      <c r="R4" s="253"/>
      <c r="S4" s="253"/>
      <c r="T4" s="253"/>
      <c r="U4" s="253"/>
      <c r="V4" s="254"/>
    </row>
    <row r="5" spans="1:22" ht="71.25" customHeight="1" thickBot="1">
      <c r="A5" s="255" t="s">
        <v>271</v>
      </c>
      <c r="B5" s="255" t="s">
        <v>296</v>
      </c>
      <c r="C5" s="255" t="s">
        <v>272</v>
      </c>
      <c r="D5" s="256" t="s">
        <v>273</v>
      </c>
      <c r="E5" s="257" t="s">
        <v>274</v>
      </c>
      <c r="F5" s="257" t="s">
        <v>275</v>
      </c>
      <c r="G5" s="257" t="s">
        <v>276</v>
      </c>
      <c r="H5" s="257" t="s">
        <v>277</v>
      </c>
      <c r="I5" s="257" t="s">
        <v>278</v>
      </c>
      <c r="J5" s="258" t="s">
        <v>279</v>
      </c>
      <c r="K5" s="259" t="s">
        <v>280</v>
      </c>
      <c r="L5" s="260" t="s">
        <v>281</v>
      </c>
      <c r="M5" s="261" t="s">
        <v>282</v>
      </c>
      <c r="N5" s="262" t="s">
        <v>283</v>
      </c>
      <c r="O5" s="263" t="s">
        <v>274</v>
      </c>
      <c r="P5" s="264" t="s">
        <v>275</v>
      </c>
      <c r="Q5" s="265" t="s">
        <v>276</v>
      </c>
      <c r="R5" s="266" t="s">
        <v>277</v>
      </c>
      <c r="S5" s="266" t="s">
        <v>284</v>
      </c>
      <c r="T5" s="266" t="s">
        <v>285</v>
      </c>
      <c r="U5" s="266" t="s">
        <v>286</v>
      </c>
      <c r="V5" s="267" t="s">
        <v>287</v>
      </c>
    </row>
    <row r="6" spans="1:22" ht="24.95" customHeight="1" thickTop="1">
      <c r="A6" s="268" t="s">
        <v>50</v>
      </c>
      <c r="B6" s="269" t="s">
        <v>14</v>
      </c>
      <c r="C6" s="270" t="s">
        <v>288</v>
      </c>
      <c r="D6" s="271">
        <v>154256</v>
      </c>
      <c r="E6" s="271">
        <v>5250</v>
      </c>
      <c r="F6" s="271">
        <v>29771</v>
      </c>
      <c r="G6" s="271">
        <v>2362</v>
      </c>
      <c r="H6" s="271">
        <v>5400</v>
      </c>
      <c r="I6" s="271">
        <v>87003</v>
      </c>
      <c r="J6" s="271">
        <v>24470</v>
      </c>
      <c r="K6" s="271">
        <f>SUM(F6:I6)</f>
        <v>124536</v>
      </c>
      <c r="L6" s="272">
        <v>8.7999999999999995E-2</v>
      </c>
      <c r="M6" s="272">
        <v>0.21299999999999999</v>
      </c>
      <c r="N6" s="273">
        <v>0.17599999999999999</v>
      </c>
      <c r="O6" s="274">
        <f>L6*E6</f>
        <v>462</v>
      </c>
      <c r="P6" s="275">
        <f>L6*F6</f>
        <v>2619.848</v>
      </c>
      <c r="Q6" s="275">
        <f>L6*G6</f>
        <v>207.85599999999999</v>
      </c>
      <c r="R6" s="275">
        <f>M6*H6</f>
        <v>1150.2</v>
      </c>
      <c r="S6" s="275">
        <f>SUM(Q6:R6)</f>
        <v>1358.056</v>
      </c>
      <c r="T6" s="275">
        <f t="shared" ref="T6:T69" si="0">M6*I6</f>
        <v>18531.638999999999</v>
      </c>
      <c r="U6" s="275">
        <f>SUM(S6:T6)</f>
        <v>19889.695</v>
      </c>
      <c r="V6" s="275">
        <f>SUM(P6,U6)</f>
        <v>22509.542999999998</v>
      </c>
    </row>
    <row r="7" spans="1:22" ht="24.95" customHeight="1">
      <c r="A7" s="276" t="s">
        <v>123</v>
      </c>
      <c r="B7" s="277" t="s">
        <v>295</v>
      </c>
      <c r="C7" s="278" t="s">
        <v>289</v>
      </c>
      <c r="D7" s="279">
        <v>37429</v>
      </c>
      <c r="E7" s="279">
        <v>1088</v>
      </c>
      <c r="F7" s="279">
        <v>6766</v>
      </c>
      <c r="G7" s="279">
        <v>459</v>
      </c>
      <c r="H7" s="279">
        <v>873</v>
      </c>
      <c r="I7" s="279">
        <v>21567</v>
      </c>
      <c r="J7" s="279">
        <v>6676</v>
      </c>
      <c r="K7" s="279">
        <f t="shared" ref="K7:K70" si="1">SUM(F7:I7)</f>
        <v>29665</v>
      </c>
      <c r="L7" s="280">
        <v>7.5999999999999998E-2</v>
      </c>
      <c r="M7" s="280">
        <v>0.19500000000000001</v>
      </c>
      <c r="N7" s="281">
        <v>0.16200000000000001</v>
      </c>
      <c r="O7" s="282">
        <f t="shared" ref="O7:O70" si="2">L7*E7</f>
        <v>82.688000000000002</v>
      </c>
      <c r="P7" s="283">
        <f t="shared" ref="P7:P70" si="3">L7*F7</f>
        <v>514.21600000000001</v>
      </c>
      <c r="Q7" s="275">
        <f t="shared" ref="Q7:R38" si="4">L7*G7</f>
        <v>34.884</v>
      </c>
      <c r="R7" s="283">
        <f t="shared" si="4"/>
        <v>170.23500000000001</v>
      </c>
      <c r="S7" s="275">
        <f t="shared" ref="S7:S70" si="5">SUM(Q7:R7)</f>
        <v>205.11900000000003</v>
      </c>
      <c r="T7" s="283">
        <f t="shared" si="0"/>
        <v>4205.5650000000005</v>
      </c>
      <c r="U7" s="283">
        <f t="shared" ref="U7:U70" si="6">SUM(S7:T7)</f>
        <v>4410.6840000000002</v>
      </c>
      <c r="V7" s="283">
        <f t="shared" ref="V7:V70" si="7">SUM(P7,U7)</f>
        <v>4924.9000000000005</v>
      </c>
    </row>
    <row r="8" spans="1:22" ht="24.95" customHeight="1">
      <c r="A8" s="276" t="s">
        <v>124</v>
      </c>
      <c r="B8" s="277" t="s">
        <v>295</v>
      </c>
      <c r="C8" s="278" t="s">
        <v>289</v>
      </c>
      <c r="D8" s="279">
        <v>11033</v>
      </c>
      <c r="E8" s="279">
        <v>255</v>
      </c>
      <c r="F8" s="279">
        <v>1754</v>
      </c>
      <c r="G8" s="279">
        <v>143</v>
      </c>
      <c r="H8" s="279">
        <v>244</v>
      </c>
      <c r="I8" s="279">
        <v>6013</v>
      </c>
      <c r="J8" s="279">
        <v>2624</v>
      </c>
      <c r="K8" s="279">
        <f t="shared" si="1"/>
        <v>8154</v>
      </c>
      <c r="L8" s="280">
        <v>8.6999999999999994E-2</v>
      </c>
      <c r="M8" s="280">
        <v>0.216</v>
      </c>
      <c r="N8" s="281">
        <v>0.182</v>
      </c>
      <c r="O8" s="282">
        <f t="shared" si="2"/>
        <v>22.184999999999999</v>
      </c>
      <c r="P8" s="283">
        <f t="shared" si="3"/>
        <v>152.59799999999998</v>
      </c>
      <c r="Q8" s="275">
        <f t="shared" si="4"/>
        <v>12.440999999999999</v>
      </c>
      <c r="R8" s="283">
        <f t="shared" si="4"/>
        <v>52.704000000000001</v>
      </c>
      <c r="S8" s="275">
        <f t="shared" si="5"/>
        <v>65.144999999999996</v>
      </c>
      <c r="T8" s="283">
        <f t="shared" si="0"/>
        <v>1298.808</v>
      </c>
      <c r="U8" s="283">
        <f t="shared" si="6"/>
        <v>1363.953</v>
      </c>
      <c r="V8" s="283">
        <f t="shared" si="7"/>
        <v>1516.5509999999999</v>
      </c>
    </row>
    <row r="9" spans="1:22" ht="24.95" customHeight="1">
      <c r="A9" s="276" t="s">
        <v>114</v>
      </c>
      <c r="B9" s="277" t="s">
        <v>21</v>
      </c>
      <c r="C9" s="278" t="s">
        <v>289</v>
      </c>
      <c r="D9" s="279">
        <v>26429</v>
      </c>
      <c r="E9" s="279">
        <v>762</v>
      </c>
      <c r="F9" s="279">
        <v>4725</v>
      </c>
      <c r="G9" s="279">
        <v>303</v>
      </c>
      <c r="H9" s="279">
        <v>707</v>
      </c>
      <c r="I9" s="279">
        <v>15692</v>
      </c>
      <c r="J9" s="279">
        <v>4240</v>
      </c>
      <c r="K9" s="279">
        <f t="shared" si="1"/>
        <v>21427</v>
      </c>
      <c r="L9" s="280">
        <v>8.5000000000000006E-2</v>
      </c>
      <c r="M9" s="280">
        <v>0.23100000000000001</v>
      </c>
      <c r="N9" s="281">
        <v>0.192</v>
      </c>
      <c r="O9" s="282">
        <f t="shared" si="2"/>
        <v>64.77000000000001</v>
      </c>
      <c r="P9" s="283">
        <f t="shared" si="3"/>
        <v>401.62500000000006</v>
      </c>
      <c r="Q9" s="275">
        <f t="shared" si="4"/>
        <v>25.755000000000003</v>
      </c>
      <c r="R9" s="283">
        <f t="shared" si="4"/>
        <v>163.31700000000001</v>
      </c>
      <c r="S9" s="275">
        <f t="shared" si="5"/>
        <v>189.072</v>
      </c>
      <c r="T9" s="283">
        <f t="shared" si="0"/>
        <v>3624.8520000000003</v>
      </c>
      <c r="U9" s="283">
        <f t="shared" si="6"/>
        <v>3813.9240000000004</v>
      </c>
      <c r="V9" s="283">
        <f t="shared" si="7"/>
        <v>4215.5490000000009</v>
      </c>
    </row>
    <row r="10" spans="1:22" ht="24.95" customHeight="1">
      <c r="A10" s="276" t="s">
        <v>125</v>
      </c>
      <c r="B10" s="277" t="s">
        <v>295</v>
      </c>
      <c r="C10" s="278" t="s">
        <v>289</v>
      </c>
      <c r="D10" s="279">
        <v>27425</v>
      </c>
      <c r="E10" s="279">
        <v>744</v>
      </c>
      <c r="F10" s="279">
        <v>4430</v>
      </c>
      <c r="G10" s="279">
        <v>314</v>
      </c>
      <c r="H10" s="279">
        <v>520</v>
      </c>
      <c r="I10" s="279">
        <v>15130</v>
      </c>
      <c r="J10" s="279">
        <v>6287</v>
      </c>
      <c r="K10" s="279">
        <f t="shared" si="1"/>
        <v>20394</v>
      </c>
      <c r="L10" s="280">
        <v>7.5999999999999998E-2</v>
      </c>
      <c r="M10" s="280">
        <v>0.19700000000000001</v>
      </c>
      <c r="N10" s="281">
        <v>0.16700000000000001</v>
      </c>
      <c r="O10" s="282">
        <f t="shared" si="2"/>
        <v>56.543999999999997</v>
      </c>
      <c r="P10" s="283">
        <f t="shared" si="3"/>
        <v>336.68</v>
      </c>
      <c r="Q10" s="275">
        <f t="shared" si="4"/>
        <v>23.864000000000001</v>
      </c>
      <c r="R10" s="283">
        <f t="shared" si="4"/>
        <v>102.44</v>
      </c>
      <c r="S10" s="275">
        <f t="shared" si="5"/>
        <v>126.304</v>
      </c>
      <c r="T10" s="283">
        <f t="shared" si="0"/>
        <v>2980.61</v>
      </c>
      <c r="U10" s="283">
        <f t="shared" si="6"/>
        <v>3106.9140000000002</v>
      </c>
      <c r="V10" s="283">
        <f t="shared" si="7"/>
        <v>3443.5940000000001</v>
      </c>
    </row>
    <row r="11" spans="1:22" ht="24.95" customHeight="1">
      <c r="A11" s="276" t="s">
        <v>126</v>
      </c>
      <c r="B11" s="277" t="s">
        <v>295</v>
      </c>
      <c r="C11" s="278" t="s">
        <v>289</v>
      </c>
      <c r="D11" s="279">
        <v>17868</v>
      </c>
      <c r="E11" s="279">
        <v>434</v>
      </c>
      <c r="F11" s="279">
        <v>2439</v>
      </c>
      <c r="G11" s="279">
        <v>179</v>
      </c>
      <c r="H11" s="279">
        <v>441</v>
      </c>
      <c r="I11" s="279">
        <v>10817</v>
      </c>
      <c r="J11" s="279">
        <v>3558</v>
      </c>
      <c r="K11" s="279">
        <f t="shared" si="1"/>
        <v>13876</v>
      </c>
      <c r="L11" s="280">
        <v>8.2000000000000003E-2</v>
      </c>
      <c r="M11" s="280">
        <v>0.21099999999999999</v>
      </c>
      <c r="N11" s="281">
        <v>0.182</v>
      </c>
      <c r="O11" s="282">
        <f t="shared" si="2"/>
        <v>35.588000000000001</v>
      </c>
      <c r="P11" s="283">
        <f t="shared" si="3"/>
        <v>199.99800000000002</v>
      </c>
      <c r="Q11" s="275">
        <f t="shared" si="4"/>
        <v>14.678000000000001</v>
      </c>
      <c r="R11" s="283">
        <f t="shared" si="4"/>
        <v>93.051000000000002</v>
      </c>
      <c r="S11" s="275">
        <f t="shared" si="5"/>
        <v>107.729</v>
      </c>
      <c r="T11" s="283">
        <f t="shared" si="0"/>
        <v>2282.3869999999997</v>
      </c>
      <c r="U11" s="283">
        <f t="shared" si="6"/>
        <v>2390.1159999999995</v>
      </c>
      <c r="V11" s="283">
        <f t="shared" si="7"/>
        <v>2590.1139999999996</v>
      </c>
    </row>
    <row r="12" spans="1:22" ht="24.95" customHeight="1">
      <c r="A12" s="276" t="s">
        <v>74</v>
      </c>
      <c r="B12" s="277" t="s">
        <v>17</v>
      </c>
      <c r="C12" s="278" t="s">
        <v>289</v>
      </c>
      <c r="D12" s="279">
        <v>47791</v>
      </c>
      <c r="E12" s="279">
        <v>1468</v>
      </c>
      <c r="F12" s="279">
        <v>8664</v>
      </c>
      <c r="G12" s="279">
        <v>570</v>
      </c>
      <c r="H12" s="279">
        <v>975</v>
      </c>
      <c r="I12" s="279">
        <v>25800</v>
      </c>
      <c r="J12" s="279">
        <v>10314</v>
      </c>
      <c r="K12" s="279">
        <f t="shared" si="1"/>
        <v>36009</v>
      </c>
      <c r="L12" s="280">
        <v>8.5000000000000006E-2</v>
      </c>
      <c r="M12" s="280">
        <v>0.20300000000000001</v>
      </c>
      <c r="N12" s="281">
        <v>0.17</v>
      </c>
      <c r="O12" s="282">
        <f t="shared" si="2"/>
        <v>124.78000000000002</v>
      </c>
      <c r="P12" s="283">
        <f t="shared" si="3"/>
        <v>736.44</v>
      </c>
      <c r="Q12" s="275">
        <f t="shared" si="4"/>
        <v>48.45</v>
      </c>
      <c r="R12" s="283">
        <f t="shared" si="4"/>
        <v>197.92500000000001</v>
      </c>
      <c r="S12" s="275">
        <f t="shared" si="5"/>
        <v>246.375</v>
      </c>
      <c r="T12" s="283">
        <f t="shared" si="0"/>
        <v>5237.4000000000005</v>
      </c>
      <c r="U12" s="283">
        <f t="shared" si="6"/>
        <v>5483.7750000000005</v>
      </c>
      <c r="V12" s="283">
        <f t="shared" si="7"/>
        <v>6220.2150000000001</v>
      </c>
    </row>
    <row r="13" spans="1:22" ht="24.95" customHeight="1">
      <c r="A13" s="284" t="s">
        <v>75</v>
      </c>
      <c r="B13" s="285" t="s">
        <v>17</v>
      </c>
      <c r="C13" s="286" t="s">
        <v>289</v>
      </c>
      <c r="D13" s="279">
        <v>20581</v>
      </c>
      <c r="E13" s="279">
        <v>552</v>
      </c>
      <c r="F13" s="279">
        <v>3462</v>
      </c>
      <c r="G13" s="279">
        <v>265</v>
      </c>
      <c r="H13" s="279">
        <v>472</v>
      </c>
      <c r="I13" s="279">
        <v>12062</v>
      </c>
      <c r="J13" s="279">
        <v>3768</v>
      </c>
      <c r="K13" s="279">
        <f t="shared" si="1"/>
        <v>16261</v>
      </c>
      <c r="L13" s="280">
        <v>8.6999999999999994E-2</v>
      </c>
      <c r="M13" s="280">
        <v>0.248</v>
      </c>
      <c r="N13" s="281">
        <v>0.20599999999999999</v>
      </c>
      <c r="O13" s="282">
        <f t="shared" si="2"/>
        <v>48.023999999999994</v>
      </c>
      <c r="P13" s="283">
        <f t="shared" si="3"/>
        <v>301.19399999999996</v>
      </c>
      <c r="Q13" s="275">
        <f t="shared" si="4"/>
        <v>23.055</v>
      </c>
      <c r="R13" s="283">
        <f t="shared" si="4"/>
        <v>117.056</v>
      </c>
      <c r="S13" s="275">
        <f t="shared" si="5"/>
        <v>140.11099999999999</v>
      </c>
      <c r="T13" s="283">
        <f t="shared" si="0"/>
        <v>2991.3760000000002</v>
      </c>
      <c r="U13" s="283">
        <f t="shared" si="6"/>
        <v>3131.4870000000001</v>
      </c>
      <c r="V13" s="283">
        <f t="shared" si="7"/>
        <v>3432.681</v>
      </c>
    </row>
    <row r="14" spans="1:22" ht="24.95" customHeight="1">
      <c r="A14" s="284" t="s">
        <v>93</v>
      </c>
      <c r="B14" s="285" t="s">
        <v>18</v>
      </c>
      <c r="C14" s="286" t="s">
        <v>289</v>
      </c>
      <c r="D14" s="279">
        <v>35250</v>
      </c>
      <c r="E14" s="279">
        <v>1070</v>
      </c>
      <c r="F14" s="279">
        <v>6544</v>
      </c>
      <c r="G14" s="279">
        <v>452</v>
      </c>
      <c r="H14" s="279">
        <v>874</v>
      </c>
      <c r="I14" s="279">
        <v>19944</v>
      </c>
      <c r="J14" s="279">
        <v>6366</v>
      </c>
      <c r="K14" s="279">
        <f t="shared" si="1"/>
        <v>27814</v>
      </c>
      <c r="L14" s="280">
        <v>8.5999999999999993E-2</v>
      </c>
      <c r="M14" s="280">
        <v>0.21199999999999999</v>
      </c>
      <c r="N14" s="281">
        <v>0.17699999999999999</v>
      </c>
      <c r="O14" s="282">
        <f t="shared" si="2"/>
        <v>92.02</v>
      </c>
      <c r="P14" s="283">
        <f t="shared" si="3"/>
        <v>562.78399999999999</v>
      </c>
      <c r="Q14" s="275">
        <f t="shared" si="4"/>
        <v>38.872</v>
      </c>
      <c r="R14" s="283">
        <f t="shared" si="4"/>
        <v>185.28799999999998</v>
      </c>
      <c r="S14" s="275">
        <f t="shared" si="5"/>
        <v>224.15999999999997</v>
      </c>
      <c r="T14" s="283">
        <f t="shared" si="0"/>
        <v>4228.1279999999997</v>
      </c>
      <c r="U14" s="283">
        <f t="shared" si="6"/>
        <v>4452.2879999999996</v>
      </c>
      <c r="V14" s="283">
        <f t="shared" si="7"/>
        <v>5015.0719999999992</v>
      </c>
    </row>
    <row r="15" spans="1:22" ht="24.95" customHeight="1">
      <c r="A15" s="284" t="s">
        <v>69</v>
      </c>
      <c r="B15" s="285" t="s">
        <v>16</v>
      </c>
      <c r="C15" s="286" t="s">
        <v>289</v>
      </c>
      <c r="D15" s="279">
        <v>118634</v>
      </c>
      <c r="E15" s="279">
        <v>3114</v>
      </c>
      <c r="F15" s="279">
        <v>18007</v>
      </c>
      <c r="G15" s="279">
        <v>1047</v>
      </c>
      <c r="H15" s="279">
        <v>1990</v>
      </c>
      <c r="I15" s="279">
        <v>63008</v>
      </c>
      <c r="J15" s="279">
        <v>31468</v>
      </c>
      <c r="K15" s="279">
        <f t="shared" si="1"/>
        <v>84052</v>
      </c>
      <c r="L15" s="280">
        <v>7.8E-2</v>
      </c>
      <c r="M15" s="280">
        <v>0.2</v>
      </c>
      <c r="N15" s="281">
        <v>0.17</v>
      </c>
      <c r="O15" s="282">
        <f t="shared" si="2"/>
        <v>242.892</v>
      </c>
      <c r="P15" s="283">
        <f t="shared" si="3"/>
        <v>1404.546</v>
      </c>
      <c r="Q15" s="275">
        <f t="shared" si="4"/>
        <v>81.665999999999997</v>
      </c>
      <c r="R15" s="283">
        <f t="shared" si="4"/>
        <v>398</v>
      </c>
      <c r="S15" s="275">
        <f t="shared" si="5"/>
        <v>479.666</v>
      </c>
      <c r="T15" s="283">
        <f t="shared" si="0"/>
        <v>12601.6</v>
      </c>
      <c r="U15" s="283">
        <f t="shared" si="6"/>
        <v>13081.266</v>
      </c>
      <c r="V15" s="283">
        <f t="shared" si="7"/>
        <v>14485.812</v>
      </c>
    </row>
    <row r="16" spans="1:22" ht="24.95" customHeight="1">
      <c r="A16" s="284" t="s">
        <v>127</v>
      </c>
      <c r="B16" s="285" t="s">
        <v>295</v>
      </c>
      <c r="C16" s="286" t="s">
        <v>288</v>
      </c>
      <c r="D16" s="279">
        <v>251995</v>
      </c>
      <c r="E16" s="279">
        <v>7860</v>
      </c>
      <c r="F16" s="279">
        <v>41648</v>
      </c>
      <c r="G16" s="279">
        <v>2776</v>
      </c>
      <c r="H16" s="279">
        <v>5859</v>
      </c>
      <c r="I16" s="279">
        <v>148675</v>
      </c>
      <c r="J16" s="279">
        <v>45177</v>
      </c>
      <c r="K16" s="279">
        <f t="shared" si="1"/>
        <v>198958</v>
      </c>
      <c r="L16" s="280">
        <v>7.6999999999999999E-2</v>
      </c>
      <c r="M16" s="280">
        <v>0.185</v>
      </c>
      <c r="N16" s="281">
        <v>0.158</v>
      </c>
      <c r="O16" s="282">
        <f t="shared" si="2"/>
        <v>605.22</v>
      </c>
      <c r="P16" s="283">
        <f t="shared" si="3"/>
        <v>3206.8960000000002</v>
      </c>
      <c r="Q16" s="275">
        <f t="shared" si="4"/>
        <v>213.75200000000001</v>
      </c>
      <c r="R16" s="283">
        <f t="shared" si="4"/>
        <v>1083.915</v>
      </c>
      <c r="S16" s="275">
        <f t="shared" si="5"/>
        <v>1297.6669999999999</v>
      </c>
      <c r="T16" s="283">
        <f t="shared" si="0"/>
        <v>27504.875</v>
      </c>
      <c r="U16" s="283">
        <f t="shared" si="6"/>
        <v>28802.542000000001</v>
      </c>
      <c r="V16" s="283">
        <f t="shared" si="7"/>
        <v>32009.438000000002</v>
      </c>
    </row>
    <row r="17" spans="1:22" ht="24.95" customHeight="1">
      <c r="A17" s="284" t="s">
        <v>106</v>
      </c>
      <c r="B17" s="285" t="s">
        <v>20</v>
      </c>
      <c r="C17" s="286" t="s">
        <v>289</v>
      </c>
      <c r="D17" s="279">
        <v>89184</v>
      </c>
      <c r="E17" s="279">
        <v>2545</v>
      </c>
      <c r="F17" s="279">
        <v>16036</v>
      </c>
      <c r="G17" s="279">
        <v>1646</v>
      </c>
      <c r="H17" s="279">
        <v>2917</v>
      </c>
      <c r="I17" s="279">
        <v>49880</v>
      </c>
      <c r="J17" s="279">
        <v>16160</v>
      </c>
      <c r="K17" s="279">
        <f t="shared" si="1"/>
        <v>70479</v>
      </c>
      <c r="L17" s="280">
        <v>0.08</v>
      </c>
      <c r="M17" s="280">
        <v>0.187</v>
      </c>
      <c r="N17" s="281">
        <v>0.156</v>
      </c>
      <c r="O17" s="282">
        <f t="shared" si="2"/>
        <v>203.6</v>
      </c>
      <c r="P17" s="283">
        <f t="shared" si="3"/>
        <v>1282.8800000000001</v>
      </c>
      <c r="Q17" s="275">
        <f t="shared" si="4"/>
        <v>131.68</v>
      </c>
      <c r="R17" s="283">
        <f t="shared" si="4"/>
        <v>545.47900000000004</v>
      </c>
      <c r="S17" s="275">
        <f t="shared" si="5"/>
        <v>677.15900000000011</v>
      </c>
      <c r="T17" s="283">
        <f t="shared" si="0"/>
        <v>9327.56</v>
      </c>
      <c r="U17" s="283">
        <f t="shared" si="6"/>
        <v>10004.718999999999</v>
      </c>
      <c r="V17" s="283">
        <f t="shared" si="7"/>
        <v>11287.598999999998</v>
      </c>
    </row>
    <row r="18" spans="1:22" ht="24.95" customHeight="1">
      <c r="A18" s="284" t="s">
        <v>51</v>
      </c>
      <c r="B18" s="285" t="s">
        <v>14</v>
      </c>
      <c r="C18" s="286" t="s">
        <v>288</v>
      </c>
      <c r="D18" s="279">
        <v>189528</v>
      </c>
      <c r="E18" s="279">
        <v>6974</v>
      </c>
      <c r="F18" s="279">
        <v>41883</v>
      </c>
      <c r="G18" s="279">
        <v>2531</v>
      </c>
      <c r="H18" s="279">
        <v>4967</v>
      </c>
      <c r="I18" s="279">
        <v>109584</v>
      </c>
      <c r="J18" s="279">
        <v>23589</v>
      </c>
      <c r="K18" s="279">
        <f t="shared" si="1"/>
        <v>158965</v>
      </c>
      <c r="L18" s="280">
        <v>8.1000000000000003E-2</v>
      </c>
      <c r="M18" s="280">
        <v>0.20899999999999999</v>
      </c>
      <c r="N18" s="281">
        <v>0.16800000000000001</v>
      </c>
      <c r="O18" s="282">
        <f t="shared" si="2"/>
        <v>564.89400000000001</v>
      </c>
      <c r="P18" s="283">
        <f t="shared" si="3"/>
        <v>3392.5230000000001</v>
      </c>
      <c r="Q18" s="275">
        <f t="shared" si="4"/>
        <v>205.011</v>
      </c>
      <c r="R18" s="283">
        <f t="shared" si="4"/>
        <v>1038.1030000000001</v>
      </c>
      <c r="S18" s="275">
        <f t="shared" si="5"/>
        <v>1243.114</v>
      </c>
      <c r="T18" s="283">
        <f t="shared" si="0"/>
        <v>22903.056</v>
      </c>
      <c r="U18" s="283">
        <f t="shared" si="6"/>
        <v>24146.170000000002</v>
      </c>
      <c r="V18" s="283">
        <f t="shared" si="7"/>
        <v>27538.693000000003</v>
      </c>
    </row>
    <row r="19" spans="1:22" ht="24.95" customHeight="1">
      <c r="A19" s="284" t="s">
        <v>128</v>
      </c>
      <c r="B19" s="285" t="s">
        <v>295</v>
      </c>
      <c r="C19" s="286" t="s">
        <v>289</v>
      </c>
      <c r="D19" s="279">
        <v>82405</v>
      </c>
      <c r="E19" s="279">
        <v>2371</v>
      </c>
      <c r="F19" s="279">
        <v>14956</v>
      </c>
      <c r="G19" s="279">
        <v>1093</v>
      </c>
      <c r="H19" s="279">
        <v>2268</v>
      </c>
      <c r="I19" s="279">
        <v>47225</v>
      </c>
      <c r="J19" s="279">
        <v>14492</v>
      </c>
      <c r="K19" s="279">
        <f t="shared" si="1"/>
        <v>65542</v>
      </c>
      <c r="L19" s="280">
        <v>7.6999999999999999E-2</v>
      </c>
      <c r="M19" s="280">
        <v>0.186</v>
      </c>
      <c r="N19" s="281">
        <v>0.156</v>
      </c>
      <c r="O19" s="282">
        <f t="shared" si="2"/>
        <v>182.56700000000001</v>
      </c>
      <c r="P19" s="283">
        <f t="shared" si="3"/>
        <v>1151.6120000000001</v>
      </c>
      <c r="Q19" s="275">
        <f t="shared" si="4"/>
        <v>84.161000000000001</v>
      </c>
      <c r="R19" s="283">
        <f t="shared" si="4"/>
        <v>421.84800000000001</v>
      </c>
      <c r="S19" s="275">
        <f t="shared" si="5"/>
        <v>506.00900000000001</v>
      </c>
      <c r="T19" s="283">
        <f t="shared" si="0"/>
        <v>8783.85</v>
      </c>
      <c r="U19" s="283">
        <f t="shared" si="6"/>
        <v>9289.8590000000004</v>
      </c>
      <c r="V19" s="283">
        <f t="shared" si="7"/>
        <v>10441.471000000001</v>
      </c>
    </row>
    <row r="20" spans="1:22" ht="24.95" customHeight="1">
      <c r="A20" s="284" t="s">
        <v>76</v>
      </c>
      <c r="B20" s="285" t="s">
        <v>17</v>
      </c>
      <c r="C20" s="286" t="s">
        <v>289</v>
      </c>
      <c r="D20" s="279">
        <v>10092</v>
      </c>
      <c r="E20" s="279">
        <v>246</v>
      </c>
      <c r="F20" s="279">
        <v>1971</v>
      </c>
      <c r="G20" s="279">
        <v>130</v>
      </c>
      <c r="H20" s="279">
        <v>255</v>
      </c>
      <c r="I20" s="279">
        <v>5967</v>
      </c>
      <c r="J20" s="279">
        <v>1523</v>
      </c>
      <c r="K20" s="279">
        <f t="shared" si="1"/>
        <v>8323</v>
      </c>
      <c r="L20" s="280">
        <v>6.8000000000000005E-2</v>
      </c>
      <c r="M20" s="280">
        <v>0.19500000000000001</v>
      </c>
      <c r="N20" s="281">
        <v>0.156</v>
      </c>
      <c r="O20" s="282">
        <f t="shared" si="2"/>
        <v>16.728000000000002</v>
      </c>
      <c r="P20" s="283">
        <f t="shared" si="3"/>
        <v>134.02800000000002</v>
      </c>
      <c r="Q20" s="275">
        <f t="shared" si="4"/>
        <v>8.84</v>
      </c>
      <c r="R20" s="283">
        <f t="shared" si="4"/>
        <v>49.725000000000001</v>
      </c>
      <c r="S20" s="275">
        <f t="shared" si="5"/>
        <v>58.564999999999998</v>
      </c>
      <c r="T20" s="283">
        <f t="shared" si="0"/>
        <v>1163.5650000000001</v>
      </c>
      <c r="U20" s="283">
        <f t="shared" si="6"/>
        <v>1222.1300000000001</v>
      </c>
      <c r="V20" s="283">
        <f t="shared" si="7"/>
        <v>1356.1580000000001</v>
      </c>
    </row>
    <row r="21" spans="1:22" ht="24.95" customHeight="1">
      <c r="A21" s="284" t="s">
        <v>70</v>
      </c>
      <c r="B21" s="285" t="s">
        <v>16</v>
      </c>
      <c r="C21" s="286" t="s">
        <v>289</v>
      </c>
      <c r="D21" s="279">
        <v>70101</v>
      </c>
      <c r="E21" s="279">
        <v>1890</v>
      </c>
      <c r="F21" s="279">
        <v>10702</v>
      </c>
      <c r="G21" s="279">
        <v>765</v>
      </c>
      <c r="H21" s="279">
        <v>1464</v>
      </c>
      <c r="I21" s="279">
        <v>40010</v>
      </c>
      <c r="J21" s="279">
        <v>15270</v>
      </c>
      <c r="K21" s="279">
        <f t="shared" si="1"/>
        <v>52941</v>
      </c>
      <c r="L21" s="280">
        <v>7.3999999999999996E-2</v>
      </c>
      <c r="M21" s="280">
        <v>0.188</v>
      </c>
      <c r="N21" s="281">
        <v>0.161</v>
      </c>
      <c r="O21" s="282">
        <f t="shared" si="2"/>
        <v>139.85999999999999</v>
      </c>
      <c r="P21" s="283">
        <f t="shared" si="3"/>
        <v>791.94799999999998</v>
      </c>
      <c r="Q21" s="275">
        <f t="shared" si="4"/>
        <v>56.61</v>
      </c>
      <c r="R21" s="283">
        <f t="shared" si="4"/>
        <v>275.23200000000003</v>
      </c>
      <c r="S21" s="275">
        <f t="shared" si="5"/>
        <v>331.84200000000004</v>
      </c>
      <c r="T21" s="283">
        <f t="shared" si="0"/>
        <v>7521.88</v>
      </c>
      <c r="U21" s="283">
        <f t="shared" si="6"/>
        <v>7853.7219999999998</v>
      </c>
      <c r="V21" s="283">
        <f t="shared" si="7"/>
        <v>8645.67</v>
      </c>
    </row>
    <row r="22" spans="1:22" ht="24.95" customHeight="1">
      <c r="A22" s="284" t="s">
        <v>52</v>
      </c>
      <c r="B22" s="285" t="s">
        <v>14</v>
      </c>
      <c r="C22" s="286" t="s">
        <v>289</v>
      </c>
      <c r="D22" s="279">
        <v>23708</v>
      </c>
      <c r="E22" s="279">
        <v>612</v>
      </c>
      <c r="F22" s="279">
        <v>3870</v>
      </c>
      <c r="G22" s="279">
        <v>229</v>
      </c>
      <c r="H22" s="279">
        <v>521</v>
      </c>
      <c r="I22" s="279">
        <v>14106</v>
      </c>
      <c r="J22" s="279">
        <v>4370</v>
      </c>
      <c r="K22" s="279">
        <f t="shared" si="1"/>
        <v>18726</v>
      </c>
      <c r="L22" s="280">
        <v>8.1000000000000003E-2</v>
      </c>
      <c r="M22" s="280">
        <v>0.23200000000000001</v>
      </c>
      <c r="N22" s="281">
        <v>0.19400000000000001</v>
      </c>
      <c r="O22" s="282">
        <f t="shared" si="2"/>
        <v>49.572000000000003</v>
      </c>
      <c r="P22" s="283">
        <f t="shared" si="3"/>
        <v>313.47000000000003</v>
      </c>
      <c r="Q22" s="275">
        <f t="shared" si="4"/>
        <v>18.548999999999999</v>
      </c>
      <c r="R22" s="283">
        <f t="shared" si="4"/>
        <v>120.872</v>
      </c>
      <c r="S22" s="275">
        <f t="shared" si="5"/>
        <v>139.42099999999999</v>
      </c>
      <c r="T22" s="283">
        <f t="shared" si="0"/>
        <v>3272.5920000000001</v>
      </c>
      <c r="U22" s="283">
        <f t="shared" si="6"/>
        <v>3412.0129999999999</v>
      </c>
      <c r="V22" s="283">
        <f t="shared" si="7"/>
        <v>3725.4830000000002</v>
      </c>
    </row>
    <row r="23" spans="1:22" ht="24.95" customHeight="1">
      <c r="A23" s="284" t="s">
        <v>107</v>
      </c>
      <c r="B23" s="285" t="s">
        <v>20</v>
      </c>
      <c r="C23" s="286" t="s">
        <v>288</v>
      </c>
      <c r="D23" s="279">
        <v>155545</v>
      </c>
      <c r="E23" s="279">
        <v>5256</v>
      </c>
      <c r="F23" s="279">
        <v>30145</v>
      </c>
      <c r="G23" s="279">
        <v>2102</v>
      </c>
      <c r="H23" s="279">
        <v>4251</v>
      </c>
      <c r="I23" s="279">
        <v>88905</v>
      </c>
      <c r="J23" s="279">
        <v>24886</v>
      </c>
      <c r="K23" s="279">
        <f t="shared" si="1"/>
        <v>125403</v>
      </c>
      <c r="L23" s="280">
        <v>7.9000000000000001E-2</v>
      </c>
      <c r="M23" s="280">
        <v>0.17499999999999999</v>
      </c>
      <c r="N23" s="281">
        <v>0.14699999999999999</v>
      </c>
      <c r="O23" s="282">
        <f t="shared" si="2"/>
        <v>415.22399999999999</v>
      </c>
      <c r="P23" s="283">
        <f t="shared" si="3"/>
        <v>2381.4549999999999</v>
      </c>
      <c r="Q23" s="275">
        <f t="shared" si="4"/>
        <v>166.05799999999999</v>
      </c>
      <c r="R23" s="283">
        <f t="shared" si="4"/>
        <v>743.92499999999995</v>
      </c>
      <c r="S23" s="275">
        <f t="shared" si="5"/>
        <v>909.98299999999995</v>
      </c>
      <c r="T23" s="283">
        <f t="shared" si="0"/>
        <v>15558.374999999998</v>
      </c>
      <c r="U23" s="283">
        <f t="shared" si="6"/>
        <v>16468.357999999997</v>
      </c>
      <c r="V23" s="283">
        <f t="shared" si="7"/>
        <v>18849.812999999995</v>
      </c>
    </row>
    <row r="24" spans="1:22" ht="24.95" customHeight="1">
      <c r="A24" s="284" t="s">
        <v>53</v>
      </c>
      <c r="B24" s="285" t="s">
        <v>14</v>
      </c>
      <c r="C24" s="286" t="s">
        <v>289</v>
      </c>
      <c r="D24" s="279">
        <v>68770</v>
      </c>
      <c r="E24" s="279">
        <v>1889</v>
      </c>
      <c r="F24" s="279">
        <v>12029</v>
      </c>
      <c r="G24" s="279">
        <v>721</v>
      </c>
      <c r="H24" s="279">
        <v>1342</v>
      </c>
      <c r="I24" s="279">
        <v>37666</v>
      </c>
      <c r="J24" s="279">
        <v>15123</v>
      </c>
      <c r="K24" s="279">
        <f t="shared" si="1"/>
        <v>51758</v>
      </c>
      <c r="L24" s="280">
        <v>8.8999999999999996E-2</v>
      </c>
      <c r="M24" s="280">
        <v>0.22500000000000001</v>
      </c>
      <c r="N24" s="281">
        <v>0.188</v>
      </c>
      <c r="O24" s="282">
        <f t="shared" si="2"/>
        <v>168.12099999999998</v>
      </c>
      <c r="P24" s="283">
        <f t="shared" si="3"/>
        <v>1070.5809999999999</v>
      </c>
      <c r="Q24" s="275">
        <f t="shared" si="4"/>
        <v>64.168999999999997</v>
      </c>
      <c r="R24" s="283">
        <f t="shared" si="4"/>
        <v>301.95</v>
      </c>
      <c r="S24" s="275">
        <f t="shared" si="5"/>
        <v>366.11899999999997</v>
      </c>
      <c r="T24" s="283">
        <f t="shared" si="0"/>
        <v>8474.85</v>
      </c>
      <c r="U24" s="283">
        <f t="shared" si="6"/>
        <v>8840.969000000001</v>
      </c>
      <c r="V24" s="283">
        <f t="shared" si="7"/>
        <v>9911.5500000000011</v>
      </c>
    </row>
    <row r="25" spans="1:22" ht="24.95" customHeight="1">
      <c r="A25" s="284" t="s">
        <v>129</v>
      </c>
      <c r="B25" s="285" t="s">
        <v>295</v>
      </c>
      <c r="C25" s="286" t="s">
        <v>289</v>
      </c>
      <c r="D25" s="279">
        <v>27060</v>
      </c>
      <c r="E25" s="279">
        <v>571</v>
      </c>
      <c r="F25" s="279">
        <v>4249</v>
      </c>
      <c r="G25" s="279">
        <v>306</v>
      </c>
      <c r="H25" s="279">
        <v>551</v>
      </c>
      <c r="I25" s="279">
        <v>14102</v>
      </c>
      <c r="J25" s="279">
        <v>7281</v>
      </c>
      <c r="K25" s="279">
        <f t="shared" si="1"/>
        <v>19208</v>
      </c>
      <c r="L25" s="280">
        <v>7.9000000000000001E-2</v>
      </c>
      <c r="M25" s="280">
        <v>0.17199999999999999</v>
      </c>
      <c r="N25" s="281">
        <v>0.14799999999999999</v>
      </c>
      <c r="O25" s="282">
        <f t="shared" si="2"/>
        <v>45.109000000000002</v>
      </c>
      <c r="P25" s="283">
        <f t="shared" si="3"/>
        <v>335.67099999999999</v>
      </c>
      <c r="Q25" s="275">
        <f t="shared" si="4"/>
        <v>24.173999999999999</v>
      </c>
      <c r="R25" s="283">
        <f t="shared" si="4"/>
        <v>94.771999999999991</v>
      </c>
      <c r="S25" s="275">
        <f t="shared" si="5"/>
        <v>118.946</v>
      </c>
      <c r="T25" s="283">
        <f t="shared" si="0"/>
        <v>2425.5439999999999</v>
      </c>
      <c r="U25" s="283">
        <f t="shared" si="6"/>
        <v>2544.4899999999998</v>
      </c>
      <c r="V25" s="283">
        <f t="shared" si="7"/>
        <v>2880.1609999999996</v>
      </c>
    </row>
    <row r="26" spans="1:22" ht="24.95" customHeight="1">
      <c r="A26" s="284" t="s">
        <v>77</v>
      </c>
      <c r="B26" s="285" t="s">
        <v>17</v>
      </c>
      <c r="C26" s="286" t="s">
        <v>289</v>
      </c>
      <c r="D26" s="279">
        <v>14839</v>
      </c>
      <c r="E26" s="279">
        <v>466</v>
      </c>
      <c r="F26" s="279">
        <v>2681</v>
      </c>
      <c r="G26" s="279">
        <v>193</v>
      </c>
      <c r="H26" s="279">
        <v>330</v>
      </c>
      <c r="I26" s="279">
        <v>7925</v>
      </c>
      <c r="J26" s="279">
        <v>3244</v>
      </c>
      <c r="K26" s="279">
        <f t="shared" si="1"/>
        <v>11129</v>
      </c>
      <c r="L26" s="280">
        <v>8.2000000000000003E-2</v>
      </c>
      <c r="M26" s="280">
        <v>0.20599999999999999</v>
      </c>
      <c r="N26" s="281">
        <v>0.17</v>
      </c>
      <c r="O26" s="282">
        <f t="shared" si="2"/>
        <v>38.212000000000003</v>
      </c>
      <c r="P26" s="283">
        <f t="shared" si="3"/>
        <v>219.84200000000001</v>
      </c>
      <c r="Q26" s="275">
        <f t="shared" si="4"/>
        <v>15.826000000000001</v>
      </c>
      <c r="R26" s="283">
        <f t="shared" si="4"/>
        <v>67.97999999999999</v>
      </c>
      <c r="S26" s="275">
        <f t="shared" si="5"/>
        <v>83.805999999999983</v>
      </c>
      <c r="T26" s="283">
        <f t="shared" si="0"/>
        <v>1632.55</v>
      </c>
      <c r="U26" s="283">
        <f t="shared" si="6"/>
        <v>1716.356</v>
      </c>
      <c r="V26" s="283">
        <f t="shared" si="7"/>
        <v>1936.1980000000001</v>
      </c>
    </row>
    <row r="27" spans="1:22" ht="24.95" customHeight="1">
      <c r="A27" s="284" t="s">
        <v>130</v>
      </c>
      <c r="B27" s="285" t="s">
        <v>295</v>
      </c>
      <c r="C27" s="286" t="s">
        <v>289</v>
      </c>
      <c r="D27" s="279">
        <v>10621</v>
      </c>
      <c r="E27" s="279">
        <v>199</v>
      </c>
      <c r="F27" s="279">
        <v>1625</v>
      </c>
      <c r="G27" s="279">
        <v>121</v>
      </c>
      <c r="H27" s="279">
        <v>198</v>
      </c>
      <c r="I27" s="279">
        <v>5515</v>
      </c>
      <c r="J27" s="279">
        <v>2963</v>
      </c>
      <c r="K27" s="279">
        <f t="shared" si="1"/>
        <v>7459</v>
      </c>
      <c r="L27" s="280">
        <v>7.5999999999999998E-2</v>
      </c>
      <c r="M27" s="280">
        <v>0.187</v>
      </c>
      <c r="N27" s="281">
        <v>0.16</v>
      </c>
      <c r="O27" s="282">
        <f t="shared" si="2"/>
        <v>15.123999999999999</v>
      </c>
      <c r="P27" s="283">
        <f t="shared" si="3"/>
        <v>123.5</v>
      </c>
      <c r="Q27" s="275">
        <f t="shared" si="4"/>
        <v>9.1959999999999997</v>
      </c>
      <c r="R27" s="283">
        <f t="shared" si="4"/>
        <v>37.026000000000003</v>
      </c>
      <c r="S27" s="275">
        <f t="shared" si="5"/>
        <v>46.222000000000001</v>
      </c>
      <c r="T27" s="283">
        <f t="shared" si="0"/>
        <v>1031.3050000000001</v>
      </c>
      <c r="U27" s="283">
        <f t="shared" si="6"/>
        <v>1077.527</v>
      </c>
      <c r="V27" s="283">
        <f t="shared" si="7"/>
        <v>1201.027</v>
      </c>
    </row>
    <row r="28" spans="1:22" ht="24.95" customHeight="1">
      <c r="A28" s="284" t="s">
        <v>108</v>
      </c>
      <c r="B28" s="285" t="s">
        <v>20</v>
      </c>
      <c r="C28" s="286" t="s">
        <v>289</v>
      </c>
      <c r="D28" s="279">
        <v>97245</v>
      </c>
      <c r="E28" s="279">
        <v>3144</v>
      </c>
      <c r="F28" s="279">
        <v>18366</v>
      </c>
      <c r="G28" s="279">
        <v>1458</v>
      </c>
      <c r="H28" s="279">
        <v>2959</v>
      </c>
      <c r="I28" s="279">
        <v>54819</v>
      </c>
      <c r="J28" s="279">
        <v>16499</v>
      </c>
      <c r="K28" s="279">
        <f t="shared" si="1"/>
        <v>77602</v>
      </c>
      <c r="L28" s="280">
        <v>7.9000000000000001E-2</v>
      </c>
      <c r="M28" s="280">
        <v>0.193</v>
      </c>
      <c r="N28" s="281">
        <v>0.16</v>
      </c>
      <c r="O28" s="282">
        <f t="shared" si="2"/>
        <v>248.376</v>
      </c>
      <c r="P28" s="283">
        <f t="shared" si="3"/>
        <v>1450.914</v>
      </c>
      <c r="Q28" s="275">
        <f t="shared" si="4"/>
        <v>115.182</v>
      </c>
      <c r="R28" s="283">
        <f t="shared" si="4"/>
        <v>571.08699999999999</v>
      </c>
      <c r="S28" s="275">
        <f t="shared" si="5"/>
        <v>686.26900000000001</v>
      </c>
      <c r="T28" s="283">
        <f t="shared" si="0"/>
        <v>10580.067000000001</v>
      </c>
      <c r="U28" s="283">
        <f t="shared" si="6"/>
        <v>11266.336000000001</v>
      </c>
      <c r="V28" s="283">
        <f t="shared" si="7"/>
        <v>12717.250000000002</v>
      </c>
    </row>
    <row r="29" spans="1:22" ht="24.95" customHeight="1">
      <c r="A29" s="284" t="s">
        <v>94</v>
      </c>
      <c r="B29" s="285" t="s">
        <v>18</v>
      </c>
      <c r="C29" s="286" t="s">
        <v>289</v>
      </c>
      <c r="D29" s="279">
        <v>57376</v>
      </c>
      <c r="E29" s="279">
        <v>1775</v>
      </c>
      <c r="F29" s="279">
        <v>10855</v>
      </c>
      <c r="G29" s="279">
        <v>787</v>
      </c>
      <c r="H29" s="279">
        <v>1493</v>
      </c>
      <c r="I29" s="279">
        <v>32515</v>
      </c>
      <c r="J29" s="279">
        <v>9951</v>
      </c>
      <c r="K29" s="279">
        <f t="shared" si="1"/>
        <v>45650</v>
      </c>
      <c r="L29" s="280">
        <v>8.5000000000000006E-2</v>
      </c>
      <c r="M29" s="280">
        <v>0.222</v>
      </c>
      <c r="N29" s="281">
        <v>0.183</v>
      </c>
      <c r="O29" s="282">
        <f t="shared" si="2"/>
        <v>150.875</v>
      </c>
      <c r="P29" s="283">
        <f t="shared" si="3"/>
        <v>922.67500000000007</v>
      </c>
      <c r="Q29" s="275">
        <f t="shared" si="4"/>
        <v>66.89500000000001</v>
      </c>
      <c r="R29" s="283">
        <f t="shared" si="4"/>
        <v>331.44600000000003</v>
      </c>
      <c r="S29" s="275">
        <f t="shared" si="5"/>
        <v>398.34100000000001</v>
      </c>
      <c r="T29" s="283">
        <f t="shared" si="0"/>
        <v>7218.33</v>
      </c>
      <c r="U29" s="283">
        <f t="shared" si="6"/>
        <v>7616.6710000000003</v>
      </c>
      <c r="V29" s="283">
        <f t="shared" si="7"/>
        <v>8539.3459999999995</v>
      </c>
    </row>
    <row r="30" spans="1:22" ht="24.95" customHeight="1">
      <c r="A30" s="284" t="s">
        <v>78</v>
      </c>
      <c r="B30" s="285" t="s">
        <v>17</v>
      </c>
      <c r="C30" s="286" t="s">
        <v>289</v>
      </c>
      <c r="D30" s="279">
        <v>104288</v>
      </c>
      <c r="E30" s="279">
        <v>4666</v>
      </c>
      <c r="F30" s="279">
        <v>20981</v>
      </c>
      <c r="G30" s="279">
        <v>1235</v>
      </c>
      <c r="H30" s="279">
        <v>3506</v>
      </c>
      <c r="I30" s="279">
        <v>56727</v>
      </c>
      <c r="J30" s="279">
        <v>17173</v>
      </c>
      <c r="K30" s="279">
        <f t="shared" si="1"/>
        <v>82449</v>
      </c>
      <c r="L30" s="280">
        <v>0.08</v>
      </c>
      <c r="M30" s="280">
        <v>0.20200000000000001</v>
      </c>
      <c r="N30" s="281">
        <v>0.16600000000000001</v>
      </c>
      <c r="O30" s="282">
        <f t="shared" si="2"/>
        <v>373.28000000000003</v>
      </c>
      <c r="P30" s="283">
        <f t="shared" si="3"/>
        <v>1678.48</v>
      </c>
      <c r="Q30" s="275">
        <f t="shared" si="4"/>
        <v>98.8</v>
      </c>
      <c r="R30" s="283">
        <f t="shared" si="4"/>
        <v>708.21199999999999</v>
      </c>
      <c r="S30" s="275">
        <f t="shared" si="5"/>
        <v>807.01199999999994</v>
      </c>
      <c r="T30" s="283">
        <f t="shared" si="0"/>
        <v>11458.854000000001</v>
      </c>
      <c r="U30" s="283">
        <f t="shared" si="6"/>
        <v>12265.866000000002</v>
      </c>
      <c r="V30" s="283">
        <f t="shared" si="7"/>
        <v>13944.346000000001</v>
      </c>
    </row>
    <row r="31" spans="1:22" ht="24.95" customHeight="1">
      <c r="A31" s="284" t="s">
        <v>46</v>
      </c>
      <c r="B31" s="285" t="s">
        <v>13</v>
      </c>
      <c r="C31" s="286" t="s">
        <v>288</v>
      </c>
      <c r="D31" s="279">
        <v>334466</v>
      </c>
      <c r="E31" s="279">
        <v>16582</v>
      </c>
      <c r="F31" s="279">
        <v>72833</v>
      </c>
      <c r="G31" s="279">
        <v>4351</v>
      </c>
      <c r="H31" s="279">
        <v>11340</v>
      </c>
      <c r="I31" s="279">
        <v>193061</v>
      </c>
      <c r="J31" s="279">
        <v>36299</v>
      </c>
      <c r="K31" s="279">
        <f t="shared" si="1"/>
        <v>281585</v>
      </c>
      <c r="L31" s="280">
        <v>8.5999999999999993E-2</v>
      </c>
      <c r="M31" s="280">
        <v>0.22800000000000001</v>
      </c>
      <c r="N31" s="281">
        <v>0.184</v>
      </c>
      <c r="O31" s="282">
        <f t="shared" si="2"/>
        <v>1426.0519999999999</v>
      </c>
      <c r="P31" s="283">
        <f t="shared" si="3"/>
        <v>6263.6379999999999</v>
      </c>
      <c r="Q31" s="275">
        <f t="shared" si="4"/>
        <v>374.18599999999998</v>
      </c>
      <c r="R31" s="283">
        <f t="shared" si="4"/>
        <v>2585.52</v>
      </c>
      <c r="S31" s="275">
        <f t="shared" si="5"/>
        <v>2959.7060000000001</v>
      </c>
      <c r="T31" s="283">
        <f t="shared" si="0"/>
        <v>44017.908000000003</v>
      </c>
      <c r="U31" s="283">
        <f t="shared" si="6"/>
        <v>46977.614000000001</v>
      </c>
      <c r="V31" s="283">
        <f t="shared" si="7"/>
        <v>53241.252</v>
      </c>
    </row>
    <row r="32" spans="1:22" ht="24.95" customHeight="1">
      <c r="A32" s="284" t="s">
        <v>79</v>
      </c>
      <c r="B32" s="285" t="s">
        <v>17</v>
      </c>
      <c r="C32" s="286" t="s">
        <v>289</v>
      </c>
      <c r="D32" s="279">
        <v>24055</v>
      </c>
      <c r="E32" s="279">
        <v>571</v>
      </c>
      <c r="F32" s="279">
        <v>4474</v>
      </c>
      <c r="G32" s="279">
        <v>322</v>
      </c>
      <c r="H32" s="279">
        <v>610</v>
      </c>
      <c r="I32" s="279">
        <v>14465</v>
      </c>
      <c r="J32" s="279">
        <v>3613</v>
      </c>
      <c r="K32" s="279">
        <f t="shared" si="1"/>
        <v>19871</v>
      </c>
      <c r="L32" s="280">
        <v>7.0000000000000007E-2</v>
      </c>
      <c r="M32" s="280">
        <v>0.19800000000000001</v>
      </c>
      <c r="N32" s="281">
        <v>0.16200000000000001</v>
      </c>
      <c r="O32" s="282">
        <f t="shared" si="2"/>
        <v>39.970000000000006</v>
      </c>
      <c r="P32" s="283">
        <f t="shared" si="3"/>
        <v>313.18</v>
      </c>
      <c r="Q32" s="275">
        <f t="shared" si="4"/>
        <v>22.540000000000003</v>
      </c>
      <c r="R32" s="283">
        <f t="shared" si="4"/>
        <v>120.78</v>
      </c>
      <c r="S32" s="275">
        <f t="shared" si="5"/>
        <v>143.32</v>
      </c>
      <c r="T32" s="283">
        <f t="shared" si="0"/>
        <v>2864.07</v>
      </c>
      <c r="U32" s="283">
        <f t="shared" si="6"/>
        <v>3007.3900000000003</v>
      </c>
      <c r="V32" s="283">
        <f t="shared" si="7"/>
        <v>3320.57</v>
      </c>
    </row>
    <row r="33" spans="1:22" ht="24.95" customHeight="1">
      <c r="A33" s="284" t="s">
        <v>80</v>
      </c>
      <c r="B33" s="285" t="s">
        <v>17</v>
      </c>
      <c r="C33" s="286" t="s">
        <v>289</v>
      </c>
      <c r="D33" s="279">
        <v>35471</v>
      </c>
      <c r="E33" s="279">
        <v>1083</v>
      </c>
      <c r="F33" s="279">
        <v>5746</v>
      </c>
      <c r="G33" s="279">
        <v>339</v>
      </c>
      <c r="H33" s="279">
        <v>579</v>
      </c>
      <c r="I33" s="279">
        <v>21198</v>
      </c>
      <c r="J33" s="279">
        <v>6526</v>
      </c>
      <c r="K33" s="279">
        <f t="shared" si="1"/>
        <v>27862</v>
      </c>
      <c r="L33" s="280">
        <v>7.8E-2</v>
      </c>
      <c r="M33" s="280">
        <v>0.182</v>
      </c>
      <c r="N33" s="281">
        <v>0.157</v>
      </c>
      <c r="O33" s="282">
        <f t="shared" si="2"/>
        <v>84.474000000000004</v>
      </c>
      <c r="P33" s="283">
        <f t="shared" si="3"/>
        <v>448.18799999999999</v>
      </c>
      <c r="Q33" s="275">
        <f t="shared" si="4"/>
        <v>26.442</v>
      </c>
      <c r="R33" s="283">
        <f t="shared" si="4"/>
        <v>105.378</v>
      </c>
      <c r="S33" s="275">
        <f t="shared" si="5"/>
        <v>131.82</v>
      </c>
      <c r="T33" s="283">
        <f t="shared" si="0"/>
        <v>3858.0360000000001</v>
      </c>
      <c r="U33" s="283">
        <f t="shared" si="6"/>
        <v>3989.8560000000002</v>
      </c>
      <c r="V33" s="283">
        <f t="shared" si="7"/>
        <v>4438.0439999999999</v>
      </c>
    </row>
    <row r="34" spans="1:22" ht="24.95" customHeight="1">
      <c r="A34" s="284" t="s">
        <v>54</v>
      </c>
      <c r="B34" s="285" t="s">
        <v>14</v>
      </c>
      <c r="C34" s="286" t="s">
        <v>288</v>
      </c>
      <c r="D34" s="279">
        <v>164110</v>
      </c>
      <c r="E34" s="279">
        <v>5151</v>
      </c>
      <c r="F34" s="279">
        <v>31783</v>
      </c>
      <c r="G34" s="279">
        <v>1884</v>
      </c>
      <c r="H34" s="279">
        <v>3922</v>
      </c>
      <c r="I34" s="279">
        <v>94532</v>
      </c>
      <c r="J34" s="279">
        <v>26838</v>
      </c>
      <c r="K34" s="279">
        <f t="shared" si="1"/>
        <v>132121</v>
      </c>
      <c r="L34" s="280">
        <v>7.8E-2</v>
      </c>
      <c r="M34" s="280">
        <v>0.20499999999999999</v>
      </c>
      <c r="N34" s="281">
        <v>0.16900000000000001</v>
      </c>
      <c r="O34" s="282">
        <f t="shared" si="2"/>
        <v>401.77800000000002</v>
      </c>
      <c r="P34" s="283">
        <f t="shared" si="3"/>
        <v>2479.0740000000001</v>
      </c>
      <c r="Q34" s="275">
        <f t="shared" si="4"/>
        <v>146.952</v>
      </c>
      <c r="R34" s="283">
        <f t="shared" si="4"/>
        <v>804.01</v>
      </c>
      <c r="S34" s="275">
        <f t="shared" si="5"/>
        <v>950.96199999999999</v>
      </c>
      <c r="T34" s="283">
        <f t="shared" si="0"/>
        <v>19379.059999999998</v>
      </c>
      <c r="U34" s="283">
        <f t="shared" si="6"/>
        <v>20330.021999999997</v>
      </c>
      <c r="V34" s="283">
        <f t="shared" si="7"/>
        <v>22809.095999999998</v>
      </c>
    </row>
    <row r="35" spans="1:22" ht="24.95" customHeight="1">
      <c r="A35" s="284" t="s">
        <v>65</v>
      </c>
      <c r="B35" s="285" t="s">
        <v>15</v>
      </c>
      <c r="C35" s="286" t="s">
        <v>289</v>
      </c>
      <c r="D35" s="279">
        <v>41647</v>
      </c>
      <c r="E35" s="279">
        <v>1195</v>
      </c>
      <c r="F35" s="279">
        <v>7740</v>
      </c>
      <c r="G35" s="279">
        <v>582</v>
      </c>
      <c r="H35" s="279">
        <v>952</v>
      </c>
      <c r="I35" s="279">
        <v>23413</v>
      </c>
      <c r="J35" s="279">
        <v>7765</v>
      </c>
      <c r="K35" s="279">
        <f t="shared" si="1"/>
        <v>32687</v>
      </c>
      <c r="L35" s="280">
        <v>7.5999999999999998E-2</v>
      </c>
      <c r="M35" s="280">
        <v>0.19800000000000001</v>
      </c>
      <c r="N35" s="281">
        <v>0.16300000000000001</v>
      </c>
      <c r="O35" s="282">
        <f t="shared" si="2"/>
        <v>90.82</v>
      </c>
      <c r="P35" s="283">
        <f t="shared" si="3"/>
        <v>588.24</v>
      </c>
      <c r="Q35" s="275">
        <f t="shared" si="4"/>
        <v>44.231999999999999</v>
      </c>
      <c r="R35" s="283">
        <f t="shared" si="4"/>
        <v>188.49600000000001</v>
      </c>
      <c r="S35" s="275">
        <f t="shared" si="5"/>
        <v>232.72800000000001</v>
      </c>
      <c r="T35" s="283">
        <f t="shared" si="0"/>
        <v>4635.7740000000003</v>
      </c>
      <c r="U35" s="283">
        <f t="shared" si="6"/>
        <v>4868.5020000000004</v>
      </c>
      <c r="V35" s="283">
        <f t="shared" si="7"/>
        <v>5456.7420000000002</v>
      </c>
    </row>
    <row r="36" spans="1:22" ht="24.95" customHeight="1">
      <c r="A36" s="284" t="s">
        <v>95</v>
      </c>
      <c r="B36" s="285" t="s">
        <v>18</v>
      </c>
      <c r="C36" s="286" t="s">
        <v>289</v>
      </c>
      <c r="D36" s="279">
        <v>60453</v>
      </c>
      <c r="E36" s="279">
        <v>2260</v>
      </c>
      <c r="F36" s="279">
        <v>12585</v>
      </c>
      <c r="G36" s="279">
        <v>801</v>
      </c>
      <c r="H36" s="279">
        <v>1523</v>
      </c>
      <c r="I36" s="279">
        <v>33466</v>
      </c>
      <c r="J36" s="279">
        <v>9818</v>
      </c>
      <c r="K36" s="279">
        <f t="shared" si="1"/>
        <v>48375</v>
      </c>
      <c r="L36" s="280">
        <v>0.1</v>
      </c>
      <c r="M36" s="280">
        <v>0.26700000000000002</v>
      </c>
      <c r="N36" s="281">
        <v>0.216</v>
      </c>
      <c r="O36" s="282">
        <f t="shared" si="2"/>
        <v>226</v>
      </c>
      <c r="P36" s="283">
        <f t="shared" si="3"/>
        <v>1258.5</v>
      </c>
      <c r="Q36" s="275">
        <f t="shared" si="4"/>
        <v>80.100000000000009</v>
      </c>
      <c r="R36" s="283">
        <f t="shared" si="4"/>
        <v>406.64100000000002</v>
      </c>
      <c r="S36" s="275">
        <f t="shared" si="5"/>
        <v>486.74100000000004</v>
      </c>
      <c r="T36" s="283">
        <f t="shared" si="0"/>
        <v>8935.4220000000005</v>
      </c>
      <c r="U36" s="283">
        <f t="shared" si="6"/>
        <v>9422.1630000000005</v>
      </c>
      <c r="V36" s="283">
        <f t="shared" si="7"/>
        <v>10680.663</v>
      </c>
    </row>
    <row r="37" spans="1:22" ht="24.95" customHeight="1">
      <c r="A37" s="284" t="s">
        <v>47</v>
      </c>
      <c r="B37" s="285" t="s">
        <v>13</v>
      </c>
      <c r="C37" s="286" t="s">
        <v>288</v>
      </c>
      <c r="D37" s="279">
        <v>291413</v>
      </c>
      <c r="E37" s="279">
        <v>12769</v>
      </c>
      <c r="F37" s="279">
        <v>54262</v>
      </c>
      <c r="G37" s="279">
        <v>4015</v>
      </c>
      <c r="H37" s="279">
        <v>9915</v>
      </c>
      <c r="I37" s="279">
        <v>178175</v>
      </c>
      <c r="J37" s="279">
        <v>32277</v>
      </c>
      <c r="K37" s="279">
        <f t="shared" si="1"/>
        <v>246367</v>
      </c>
      <c r="L37" s="280">
        <v>9.0999999999999998E-2</v>
      </c>
      <c r="M37" s="280">
        <v>0.215</v>
      </c>
      <c r="N37" s="281">
        <v>0.18099999999999999</v>
      </c>
      <c r="O37" s="282">
        <f t="shared" si="2"/>
        <v>1161.979</v>
      </c>
      <c r="P37" s="283">
        <f t="shared" si="3"/>
        <v>4937.8419999999996</v>
      </c>
      <c r="Q37" s="275">
        <f t="shared" si="4"/>
        <v>365.36500000000001</v>
      </c>
      <c r="R37" s="283">
        <f t="shared" si="4"/>
        <v>2131.7249999999999</v>
      </c>
      <c r="S37" s="275">
        <f t="shared" si="5"/>
        <v>2497.09</v>
      </c>
      <c r="T37" s="283">
        <f t="shared" si="0"/>
        <v>38307.625</v>
      </c>
      <c r="U37" s="283">
        <f t="shared" si="6"/>
        <v>40804.714999999997</v>
      </c>
      <c r="V37" s="283">
        <f t="shared" si="7"/>
        <v>45742.556999999993</v>
      </c>
    </row>
    <row r="38" spans="1:22" ht="24.95" customHeight="1">
      <c r="A38" s="284" t="s">
        <v>96</v>
      </c>
      <c r="B38" s="285" t="s">
        <v>18</v>
      </c>
      <c r="C38" s="286" t="s">
        <v>289</v>
      </c>
      <c r="D38" s="279">
        <v>55735</v>
      </c>
      <c r="E38" s="279">
        <v>1889</v>
      </c>
      <c r="F38" s="279">
        <v>11061</v>
      </c>
      <c r="G38" s="279">
        <v>783</v>
      </c>
      <c r="H38" s="279">
        <v>1516</v>
      </c>
      <c r="I38" s="279">
        <v>31210</v>
      </c>
      <c r="J38" s="279">
        <v>9276</v>
      </c>
      <c r="K38" s="279">
        <f t="shared" si="1"/>
        <v>44570</v>
      </c>
      <c r="L38" s="280">
        <v>8.7999999999999995E-2</v>
      </c>
      <c r="M38" s="280">
        <v>0.222</v>
      </c>
      <c r="N38" s="281">
        <v>0.182</v>
      </c>
      <c r="O38" s="282">
        <f t="shared" si="2"/>
        <v>166.232</v>
      </c>
      <c r="P38" s="283">
        <f t="shared" si="3"/>
        <v>973.36799999999994</v>
      </c>
      <c r="Q38" s="275">
        <f t="shared" si="4"/>
        <v>68.903999999999996</v>
      </c>
      <c r="R38" s="283">
        <f t="shared" si="4"/>
        <v>336.55200000000002</v>
      </c>
      <c r="S38" s="275">
        <f t="shared" si="5"/>
        <v>405.45600000000002</v>
      </c>
      <c r="T38" s="283">
        <f t="shared" si="0"/>
        <v>6928.62</v>
      </c>
      <c r="U38" s="283">
        <f t="shared" si="6"/>
        <v>7334.076</v>
      </c>
      <c r="V38" s="283">
        <f t="shared" si="7"/>
        <v>8307.4439999999995</v>
      </c>
    </row>
    <row r="39" spans="1:22" ht="24.95" customHeight="1">
      <c r="A39" s="284" t="s">
        <v>66</v>
      </c>
      <c r="B39" s="285" t="s">
        <v>15</v>
      </c>
      <c r="C39" s="286" t="s">
        <v>288</v>
      </c>
      <c r="D39" s="279">
        <v>363211</v>
      </c>
      <c r="E39" s="279">
        <v>13669</v>
      </c>
      <c r="F39" s="279">
        <v>72775</v>
      </c>
      <c r="G39" s="279">
        <v>4772</v>
      </c>
      <c r="H39" s="279">
        <v>9984</v>
      </c>
      <c r="I39" s="279">
        <v>209664</v>
      </c>
      <c r="J39" s="279">
        <v>52347</v>
      </c>
      <c r="K39" s="279">
        <f t="shared" si="1"/>
        <v>297195</v>
      </c>
      <c r="L39" s="280">
        <v>8.8999999999999996E-2</v>
      </c>
      <c r="M39" s="280">
        <v>0.20300000000000001</v>
      </c>
      <c r="N39" s="281">
        <v>0.16900000000000001</v>
      </c>
      <c r="O39" s="282">
        <f t="shared" si="2"/>
        <v>1216.5409999999999</v>
      </c>
      <c r="P39" s="283">
        <f t="shared" si="3"/>
        <v>6476.9749999999995</v>
      </c>
      <c r="Q39" s="275">
        <f t="shared" ref="Q39:R70" si="8">L39*G39</f>
        <v>424.70799999999997</v>
      </c>
      <c r="R39" s="283">
        <f t="shared" si="8"/>
        <v>2026.7520000000002</v>
      </c>
      <c r="S39" s="275">
        <f t="shared" si="5"/>
        <v>2451.46</v>
      </c>
      <c r="T39" s="283">
        <f t="shared" si="0"/>
        <v>42561.792000000001</v>
      </c>
      <c r="U39" s="283">
        <f t="shared" si="6"/>
        <v>45013.252</v>
      </c>
      <c r="V39" s="283">
        <f t="shared" si="7"/>
        <v>51490.226999999999</v>
      </c>
    </row>
    <row r="40" spans="1:22" ht="24.95" customHeight="1">
      <c r="A40" s="284" t="s">
        <v>55</v>
      </c>
      <c r="B40" s="285" t="s">
        <v>14</v>
      </c>
      <c r="C40" s="286" t="s">
        <v>289</v>
      </c>
      <c r="D40" s="279">
        <v>63496</v>
      </c>
      <c r="E40" s="279">
        <v>2018</v>
      </c>
      <c r="F40" s="279">
        <v>12618</v>
      </c>
      <c r="G40" s="279">
        <v>876</v>
      </c>
      <c r="H40" s="279">
        <v>1554</v>
      </c>
      <c r="I40" s="279">
        <v>36950</v>
      </c>
      <c r="J40" s="279">
        <v>9480</v>
      </c>
      <c r="K40" s="279">
        <f t="shared" si="1"/>
        <v>51998</v>
      </c>
      <c r="L40" s="280">
        <v>8.4000000000000005E-2</v>
      </c>
      <c r="M40" s="280">
        <v>0.23</v>
      </c>
      <c r="N40" s="281">
        <v>0.187</v>
      </c>
      <c r="O40" s="282">
        <f t="shared" si="2"/>
        <v>169.512</v>
      </c>
      <c r="P40" s="283">
        <f t="shared" si="3"/>
        <v>1059.912</v>
      </c>
      <c r="Q40" s="275">
        <f t="shared" si="8"/>
        <v>73.584000000000003</v>
      </c>
      <c r="R40" s="283">
        <f t="shared" si="8"/>
        <v>357.42</v>
      </c>
      <c r="S40" s="275">
        <f t="shared" si="5"/>
        <v>431.00400000000002</v>
      </c>
      <c r="T40" s="283">
        <f t="shared" si="0"/>
        <v>8498.5</v>
      </c>
      <c r="U40" s="283">
        <f t="shared" si="6"/>
        <v>8929.5040000000008</v>
      </c>
      <c r="V40" s="283">
        <f t="shared" si="7"/>
        <v>9989.4160000000011</v>
      </c>
    </row>
    <row r="41" spans="1:22" ht="24.95" customHeight="1">
      <c r="A41" s="284" t="s">
        <v>109</v>
      </c>
      <c r="B41" s="285" t="s">
        <v>20</v>
      </c>
      <c r="C41" s="286" t="s">
        <v>288</v>
      </c>
      <c r="D41" s="279">
        <v>210980</v>
      </c>
      <c r="E41" s="279">
        <v>7429</v>
      </c>
      <c r="F41" s="279">
        <v>41214</v>
      </c>
      <c r="G41" s="279">
        <v>2831</v>
      </c>
      <c r="H41" s="279">
        <v>5483</v>
      </c>
      <c r="I41" s="279">
        <v>122842</v>
      </c>
      <c r="J41" s="279">
        <v>31181</v>
      </c>
      <c r="K41" s="279">
        <f t="shared" si="1"/>
        <v>172370</v>
      </c>
      <c r="L41" s="280">
        <v>0.08</v>
      </c>
      <c r="M41" s="280">
        <v>0.20300000000000001</v>
      </c>
      <c r="N41" s="281">
        <v>0.16800000000000001</v>
      </c>
      <c r="O41" s="282">
        <f t="shared" si="2"/>
        <v>594.32000000000005</v>
      </c>
      <c r="P41" s="283">
        <f t="shared" si="3"/>
        <v>3297.12</v>
      </c>
      <c r="Q41" s="275">
        <f t="shared" si="8"/>
        <v>226.48000000000002</v>
      </c>
      <c r="R41" s="283">
        <f t="shared" si="8"/>
        <v>1113.049</v>
      </c>
      <c r="S41" s="275">
        <f t="shared" si="5"/>
        <v>1339.529</v>
      </c>
      <c r="T41" s="283">
        <f t="shared" si="0"/>
        <v>24936.926000000003</v>
      </c>
      <c r="U41" s="283">
        <f t="shared" si="6"/>
        <v>26276.455000000002</v>
      </c>
      <c r="V41" s="283">
        <f t="shared" si="7"/>
        <v>29573.575000000001</v>
      </c>
    </row>
    <row r="42" spans="1:22" ht="24.95" customHeight="1">
      <c r="A42" s="284" t="s">
        <v>81</v>
      </c>
      <c r="B42" s="285" t="s">
        <v>17</v>
      </c>
      <c r="C42" s="286" t="s">
        <v>289</v>
      </c>
      <c r="D42" s="279">
        <v>11263</v>
      </c>
      <c r="E42" s="279">
        <v>253</v>
      </c>
      <c r="F42" s="279">
        <v>1965</v>
      </c>
      <c r="G42" s="279">
        <v>148</v>
      </c>
      <c r="H42" s="279">
        <v>364</v>
      </c>
      <c r="I42" s="279">
        <v>6509</v>
      </c>
      <c r="J42" s="279">
        <v>2024</v>
      </c>
      <c r="K42" s="279">
        <f t="shared" si="1"/>
        <v>8986</v>
      </c>
      <c r="L42" s="280">
        <v>7.6999999999999999E-2</v>
      </c>
      <c r="M42" s="280">
        <v>0.22800000000000001</v>
      </c>
      <c r="N42" s="281">
        <v>0.185</v>
      </c>
      <c r="O42" s="282">
        <f t="shared" si="2"/>
        <v>19.480999999999998</v>
      </c>
      <c r="P42" s="283">
        <f t="shared" si="3"/>
        <v>151.30500000000001</v>
      </c>
      <c r="Q42" s="275">
        <f t="shared" si="8"/>
        <v>11.395999999999999</v>
      </c>
      <c r="R42" s="283">
        <f t="shared" si="8"/>
        <v>82.992000000000004</v>
      </c>
      <c r="S42" s="275">
        <f t="shared" si="5"/>
        <v>94.388000000000005</v>
      </c>
      <c r="T42" s="283">
        <f t="shared" si="0"/>
        <v>1484.0520000000001</v>
      </c>
      <c r="U42" s="283">
        <f t="shared" si="6"/>
        <v>1578.44</v>
      </c>
      <c r="V42" s="283">
        <f t="shared" si="7"/>
        <v>1729.7450000000001</v>
      </c>
    </row>
    <row r="43" spans="1:22" ht="24.95" customHeight="1">
      <c r="A43" s="284" t="s">
        <v>131</v>
      </c>
      <c r="B43" s="285" t="s">
        <v>295</v>
      </c>
      <c r="C43" s="286" t="s">
        <v>289</v>
      </c>
      <c r="D43" s="279">
        <v>8979</v>
      </c>
      <c r="E43" s="279">
        <v>271</v>
      </c>
      <c r="F43" s="279">
        <v>1607</v>
      </c>
      <c r="G43" s="279">
        <v>106</v>
      </c>
      <c r="H43" s="279">
        <v>217</v>
      </c>
      <c r="I43" s="279">
        <v>4772</v>
      </c>
      <c r="J43" s="279">
        <v>2006</v>
      </c>
      <c r="K43" s="279">
        <f t="shared" si="1"/>
        <v>6702</v>
      </c>
      <c r="L43" s="280">
        <v>7.9000000000000001E-2</v>
      </c>
      <c r="M43" s="280">
        <v>0.20399999999999999</v>
      </c>
      <c r="N43" s="281">
        <v>0.16900000000000001</v>
      </c>
      <c r="O43" s="282">
        <f t="shared" si="2"/>
        <v>21.408999999999999</v>
      </c>
      <c r="P43" s="283">
        <f t="shared" si="3"/>
        <v>126.953</v>
      </c>
      <c r="Q43" s="275">
        <f t="shared" si="8"/>
        <v>8.3740000000000006</v>
      </c>
      <c r="R43" s="283">
        <f t="shared" si="8"/>
        <v>44.268000000000001</v>
      </c>
      <c r="S43" s="275">
        <f t="shared" si="5"/>
        <v>52.642000000000003</v>
      </c>
      <c r="T43" s="283">
        <f t="shared" si="0"/>
        <v>973.48799999999994</v>
      </c>
      <c r="U43" s="283">
        <f t="shared" si="6"/>
        <v>1026.1299999999999</v>
      </c>
      <c r="V43" s="283">
        <f t="shared" si="7"/>
        <v>1153.0829999999999</v>
      </c>
    </row>
    <row r="44" spans="1:22" ht="24.95" customHeight="1">
      <c r="A44" s="284" t="s">
        <v>56</v>
      </c>
      <c r="B44" s="285" t="s">
        <v>14</v>
      </c>
      <c r="C44" s="286" t="s">
        <v>289</v>
      </c>
      <c r="D44" s="279">
        <v>58042</v>
      </c>
      <c r="E44" s="279">
        <v>1631</v>
      </c>
      <c r="F44" s="279">
        <v>10344</v>
      </c>
      <c r="G44" s="279">
        <v>727</v>
      </c>
      <c r="H44" s="279">
        <v>1892</v>
      </c>
      <c r="I44" s="279">
        <v>34871</v>
      </c>
      <c r="J44" s="279">
        <v>8577</v>
      </c>
      <c r="K44" s="279">
        <f t="shared" si="1"/>
        <v>47834</v>
      </c>
      <c r="L44" s="280">
        <v>8.4000000000000005E-2</v>
      </c>
      <c r="M44" s="280">
        <v>0.20499999999999999</v>
      </c>
      <c r="N44" s="281">
        <v>0.17299999999999999</v>
      </c>
      <c r="O44" s="282">
        <f t="shared" si="2"/>
        <v>137.00400000000002</v>
      </c>
      <c r="P44" s="283">
        <f t="shared" si="3"/>
        <v>868.89600000000007</v>
      </c>
      <c r="Q44" s="275">
        <f t="shared" si="8"/>
        <v>61.068000000000005</v>
      </c>
      <c r="R44" s="283">
        <f t="shared" si="8"/>
        <v>387.85999999999996</v>
      </c>
      <c r="S44" s="275">
        <f t="shared" si="5"/>
        <v>448.92799999999994</v>
      </c>
      <c r="T44" s="283">
        <f t="shared" si="0"/>
        <v>7148.5549999999994</v>
      </c>
      <c r="U44" s="283">
        <f t="shared" si="6"/>
        <v>7597.4829999999993</v>
      </c>
      <c r="V44" s="283">
        <f t="shared" si="7"/>
        <v>8466.378999999999</v>
      </c>
    </row>
    <row r="45" spans="1:22" ht="24.95" customHeight="1">
      <c r="A45" s="284" t="s">
        <v>97</v>
      </c>
      <c r="B45" s="285" t="s">
        <v>18</v>
      </c>
      <c r="C45" s="286" t="s">
        <v>289</v>
      </c>
      <c r="D45" s="279">
        <v>21059</v>
      </c>
      <c r="E45" s="279">
        <v>633</v>
      </c>
      <c r="F45" s="279">
        <v>4092</v>
      </c>
      <c r="G45" s="279">
        <v>246</v>
      </c>
      <c r="H45" s="279">
        <v>439</v>
      </c>
      <c r="I45" s="279">
        <v>12639</v>
      </c>
      <c r="J45" s="279">
        <v>3010</v>
      </c>
      <c r="K45" s="279">
        <f t="shared" si="1"/>
        <v>17416</v>
      </c>
      <c r="L45" s="280">
        <v>9.7000000000000003E-2</v>
      </c>
      <c r="M45" s="280">
        <v>0.27</v>
      </c>
      <c r="N45" s="281">
        <v>0.223</v>
      </c>
      <c r="O45" s="282">
        <f t="shared" si="2"/>
        <v>61.401000000000003</v>
      </c>
      <c r="P45" s="283">
        <f t="shared" si="3"/>
        <v>396.92400000000004</v>
      </c>
      <c r="Q45" s="275">
        <f t="shared" si="8"/>
        <v>23.862000000000002</v>
      </c>
      <c r="R45" s="283">
        <f t="shared" si="8"/>
        <v>118.53</v>
      </c>
      <c r="S45" s="275">
        <f t="shared" si="5"/>
        <v>142.392</v>
      </c>
      <c r="T45" s="283">
        <f t="shared" si="0"/>
        <v>3412.53</v>
      </c>
      <c r="U45" s="283">
        <f t="shared" si="6"/>
        <v>3554.922</v>
      </c>
      <c r="V45" s="283">
        <f t="shared" si="7"/>
        <v>3951.846</v>
      </c>
    </row>
    <row r="46" spans="1:22" ht="24.95" customHeight="1">
      <c r="A46" s="284" t="s">
        <v>115</v>
      </c>
      <c r="B46" s="285" t="s">
        <v>21</v>
      </c>
      <c r="C46" s="286" t="s">
        <v>288</v>
      </c>
      <c r="D46" s="279">
        <v>513089</v>
      </c>
      <c r="E46" s="279">
        <v>18128</v>
      </c>
      <c r="F46" s="279">
        <v>96852</v>
      </c>
      <c r="G46" s="279">
        <v>8274</v>
      </c>
      <c r="H46" s="279">
        <v>18750</v>
      </c>
      <c r="I46" s="279">
        <v>300463</v>
      </c>
      <c r="J46" s="279">
        <v>70622</v>
      </c>
      <c r="K46" s="279">
        <f t="shared" si="1"/>
        <v>424339</v>
      </c>
      <c r="L46" s="280">
        <v>8.5000000000000006E-2</v>
      </c>
      <c r="M46" s="280">
        <v>0.20300000000000001</v>
      </c>
      <c r="N46" s="281">
        <v>0.16900000000000001</v>
      </c>
      <c r="O46" s="282">
        <f t="shared" si="2"/>
        <v>1540.88</v>
      </c>
      <c r="P46" s="283">
        <f t="shared" si="3"/>
        <v>8232.42</v>
      </c>
      <c r="Q46" s="275">
        <f t="shared" si="8"/>
        <v>703.29000000000008</v>
      </c>
      <c r="R46" s="283">
        <f t="shared" si="8"/>
        <v>3806.2500000000005</v>
      </c>
      <c r="S46" s="275">
        <f t="shared" si="5"/>
        <v>4509.5400000000009</v>
      </c>
      <c r="T46" s="283">
        <f t="shared" si="0"/>
        <v>60993.989000000001</v>
      </c>
      <c r="U46" s="283">
        <f t="shared" si="6"/>
        <v>65503.529000000002</v>
      </c>
      <c r="V46" s="283">
        <f t="shared" si="7"/>
        <v>73735.949000000008</v>
      </c>
    </row>
    <row r="47" spans="1:22" ht="24.95" customHeight="1">
      <c r="A47" s="284" t="s">
        <v>57</v>
      </c>
      <c r="B47" s="285" t="s">
        <v>14</v>
      </c>
      <c r="C47" s="286" t="s">
        <v>289</v>
      </c>
      <c r="D47" s="279">
        <v>53432</v>
      </c>
      <c r="E47" s="279">
        <v>1660</v>
      </c>
      <c r="F47" s="279">
        <v>9959</v>
      </c>
      <c r="G47" s="279">
        <v>593</v>
      </c>
      <c r="H47" s="279">
        <v>1348</v>
      </c>
      <c r="I47" s="279">
        <v>30210</v>
      </c>
      <c r="J47" s="279">
        <v>9662</v>
      </c>
      <c r="K47" s="279">
        <f t="shared" si="1"/>
        <v>42110</v>
      </c>
      <c r="L47" s="280">
        <v>8.5999999999999993E-2</v>
      </c>
      <c r="M47" s="280">
        <v>0.23</v>
      </c>
      <c r="N47" s="281">
        <v>0.189</v>
      </c>
      <c r="O47" s="282">
        <f t="shared" si="2"/>
        <v>142.76</v>
      </c>
      <c r="P47" s="283">
        <f t="shared" si="3"/>
        <v>856.47399999999993</v>
      </c>
      <c r="Q47" s="275">
        <f t="shared" si="8"/>
        <v>50.997999999999998</v>
      </c>
      <c r="R47" s="283">
        <f t="shared" si="8"/>
        <v>310.04000000000002</v>
      </c>
      <c r="S47" s="275">
        <f t="shared" si="5"/>
        <v>361.03800000000001</v>
      </c>
      <c r="T47" s="283">
        <f t="shared" si="0"/>
        <v>6948.3</v>
      </c>
      <c r="U47" s="283">
        <f t="shared" si="6"/>
        <v>7309.3379999999997</v>
      </c>
      <c r="V47" s="283">
        <f t="shared" si="7"/>
        <v>8165.8119999999999</v>
      </c>
    </row>
    <row r="48" spans="1:22" ht="24.95" customHeight="1">
      <c r="A48" s="284" t="s">
        <v>116</v>
      </c>
      <c r="B48" s="285" t="s">
        <v>21</v>
      </c>
      <c r="C48" s="286" t="s">
        <v>289</v>
      </c>
      <c r="D48" s="279">
        <v>125646</v>
      </c>
      <c r="E48" s="279">
        <v>5438</v>
      </c>
      <c r="F48" s="279">
        <v>28927</v>
      </c>
      <c r="G48" s="279">
        <v>1887</v>
      </c>
      <c r="H48" s="279">
        <v>3654</v>
      </c>
      <c r="I48" s="279">
        <v>71054</v>
      </c>
      <c r="J48" s="279">
        <v>14686</v>
      </c>
      <c r="K48" s="279">
        <f t="shared" si="1"/>
        <v>105522</v>
      </c>
      <c r="L48" s="280">
        <v>8.5000000000000006E-2</v>
      </c>
      <c r="M48" s="280">
        <v>0.24299999999999999</v>
      </c>
      <c r="N48" s="281">
        <v>0.191</v>
      </c>
      <c r="O48" s="282">
        <f t="shared" si="2"/>
        <v>462.23</v>
      </c>
      <c r="P48" s="283">
        <f t="shared" si="3"/>
        <v>2458.7950000000001</v>
      </c>
      <c r="Q48" s="275">
        <f t="shared" si="8"/>
        <v>160.39500000000001</v>
      </c>
      <c r="R48" s="283">
        <f t="shared" si="8"/>
        <v>887.92200000000003</v>
      </c>
      <c r="S48" s="275">
        <f t="shared" si="5"/>
        <v>1048.317</v>
      </c>
      <c r="T48" s="283">
        <f t="shared" si="0"/>
        <v>17266.121999999999</v>
      </c>
      <c r="U48" s="283">
        <f t="shared" si="6"/>
        <v>18314.438999999998</v>
      </c>
      <c r="V48" s="283">
        <f t="shared" si="7"/>
        <v>20773.233999999997</v>
      </c>
    </row>
    <row r="49" spans="1:22" ht="24.95" customHeight="1">
      <c r="A49" s="284" t="s">
        <v>132</v>
      </c>
      <c r="B49" s="285" t="s">
        <v>295</v>
      </c>
      <c r="C49" s="286" t="s">
        <v>289</v>
      </c>
      <c r="D49" s="279">
        <v>59955</v>
      </c>
      <c r="E49" s="279">
        <v>1667</v>
      </c>
      <c r="F49" s="279">
        <v>9454</v>
      </c>
      <c r="G49" s="279">
        <v>676</v>
      </c>
      <c r="H49" s="279">
        <v>1256</v>
      </c>
      <c r="I49" s="279">
        <v>32712</v>
      </c>
      <c r="J49" s="279">
        <v>14190</v>
      </c>
      <c r="K49" s="279">
        <f t="shared" si="1"/>
        <v>44098</v>
      </c>
      <c r="L49" s="280">
        <v>7.3999999999999996E-2</v>
      </c>
      <c r="M49" s="280">
        <v>0.18</v>
      </c>
      <c r="N49" s="281">
        <v>0.153</v>
      </c>
      <c r="O49" s="282">
        <f t="shared" si="2"/>
        <v>123.35799999999999</v>
      </c>
      <c r="P49" s="283">
        <f t="shared" si="3"/>
        <v>699.596</v>
      </c>
      <c r="Q49" s="275">
        <f t="shared" si="8"/>
        <v>50.024000000000001</v>
      </c>
      <c r="R49" s="283">
        <f t="shared" si="8"/>
        <v>226.07999999999998</v>
      </c>
      <c r="S49" s="275">
        <f t="shared" si="5"/>
        <v>276.10399999999998</v>
      </c>
      <c r="T49" s="283">
        <f t="shared" si="0"/>
        <v>5888.16</v>
      </c>
      <c r="U49" s="283">
        <f t="shared" si="6"/>
        <v>6164.2640000000001</v>
      </c>
      <c r="V49" s="283">
        <f t="shared" si="7"/>
        <v>6863.8600000000006</v>
      </c>
    </row>
    <row r="50" spans="1:22" ht="24.95" customHeight="1">
      <c r="A50" s="284" t="s">
        <v>133</v>
      </c>
      <c r="B50" s="285" t="s">
        <v>295</v>
      </c>
      <c r="C50" s="286" t="s">
        <v>289</v>
      </c>
      <c r="D50" s="279">
        <v>110264</v>
      </c>
      <c r="E50" s="279">
        <v>3198</v>
      </c>
      <c r="F50" s="279">
        <v>18795</v>
      </c>
      <c r="G50" s="279">
        <v>1136</v>
      </c>
      <c r="H50" s="279">
        <v>1922</v>
      </c>
      <c r="I50" s="279">
        <v>58018</v>
      </c>
      <c r="J50" s="279">
        <v>27195</v>
      </c>
      <c r="K50" s="279">
        <f t="shared" si="1"/>
        <v>79871</v>
      </c>
      <c r="L50" s="280">
        <v>8.2000000000000003E-2</v>
      </c>
      <c r="M50" s="280">
        <v>0.2</v>
      </c>
      <c r="N50" s="281">
        <v>0.16800000000000001</v>
      </c>
      <c r="O50" s="282">
        <f t="shared" si="2"/>
        <v>262.23599999999999</v>
      </c>
      <c r="P50" s="283">
        <f t="shared" si="3"/>
        <v>1541.19</v>
      </c>
      <c r="Q50" s="275">
        <f t="shared" si="8"/>
        <v>93.152000000000001</v>
      </c>
      <c r="R50" s="283">
        <f t="shared" si="8"/>
        <v>384.40000000000003</v>
      </c>
      <c r="S50" s="275">
        <f t="shared" si="5"/>
        <v>477.55200000000002</v>
      </c>
      <c r="T50" s="283">
        <f t="shared" si="0"/>
        <v>11603.6</v>
      </c>
      <c r="U50" s="283">
        <f t="shared" si="6"/>
        <v>12081.152</v>
      </c>
      <c r="V50" s="283">
        <f t="shared" si="7"/>
        <v>13622.342000000001</v>
      </c>
    </row>
    <row r="51" spans="1:22" ht="24.95" customHeight="1">
      <c r="A51" s="284" t="s">
        <v>82</v>
      </c>
      <c r="B51" s="285" t="s">
        <v>17</v>
      </c>
      <c r="C51" s="286" t="s">
        <v>289</v>
      </c>
      <c r="D51" s="279">
        <v>24511</v>
      </c>
      <c r="E51" s="279">
        <v>668</v>
      </c>
      <c r="F51" s="279">
        <v>4205</v>
      </c>
      <c r="G51" s="279">
        <v>506</v>
      </c>
      <c r="H51" s="279">
        <v>831</v>
      </c>
      <c r="I51" s="279">
        <v>14030</v>
      </c>
      <c r="J51" s="279">
        <v>4271</v>
      </c>
      <c r="K51" s="279">
        <f t="shared" si="1"/>
        <v>19572</v>
      </c>
      <c r="L51" s="280">
        <v>8.8999999999999996E-2</v>
      </c>
      <c r="M51" s="280">
        <v>0.22700000000000001</v>
      </c>
      <c r="N51" s="281">
        <v>0.188</v>
      </c>
      <c r="O51" s="282">
        <f t="shared" si="2"/>
        <v>59.451999999999998</v>
      </c>
      <c r="P51" s="283">
        <f t="shared" si="3"/>
        <v>374.245</v>
      </c>
      <c r="Q51" s="275">
        <f t="shared" si="8"/>
        <v>45.033999999999999</v>
      </c>
      <c r="R51" s="283">
        <f t="shared" si="8"/>
        <v>188.637</v>
      </c>
      <c r="S51" s="275">
        <f t="shared" si="5"/>
        <v>233.67099999999999</v>
      </c>
      <c r="T51" s="283">
        <f t="shared" si="0"/>
        <v>3184.81</v>
      </c>
      <c r="U51" s="283">
        <f t="shared" si="6"/>
        <v>3418.4809999999998</v>
      </c>
      <c r="V51" s="283">
        <f t="shared" si="7"/>
        <v>3792.7259999999997</v>
      </c>
    </row>
    <row r="52" spans="1:22" ht="24.95" customHeight="1">
      <c r="A52" s="284" t="s">
        <v>117</v>
      </c>
      <c r="B52" s="285" t="s">
        <v>21</v>
      </c>
      <c r="C52" s="286" t="s">
        <v>289</v>
      </c>
      <c r="D52" s="279">
        <v>51434</v>
      </c>
      <c r="E52" s="279">
        <v>2805</v>
      </c>
      <c r="F52" s="279">
        <v>13055</v>
      </c>
      <c r="G52" s="279">
        <v>678</v>
      </c>
      <c r="H52" s="279">
        <v>1287</v>
      </c>
      <c r="I52" s="279">
        <v>29259</v>
      </c>
      <c r="J52" s="279">
        <v>4350</v>
      </c>
      <c r="K52" s="279">
        <f t="shared" si="1"/>
        <v>44279</v>
      </c>
      <c r="L52" s="280">
        <v>8.7999999999999995E-2</v>
      </c>
      <c r="M52" s="280">
        <v>0.27100000000000002</v>
      </c>
      <c r="N52" s="281">
        <v>0.21</v>
      </c>
      <c r="O52" s="282">
        <f t="shared" si="2"/>
        <v>246.83999999999997</v>
      </c>
      <c r="P52" s="283">
        <f t="shared" si="3"/>
        <v>1148.8399999999999</v>
      </c>
      <c r="Q52" s="275">
        <f t="shared" si="8"/>
        <v>59.663999999999994</v>
      </c>
      <c r="R52" s="283">
        <f t="shared" si="8"/>
        <v>348.77700000000004</v>
      </c>
      <c r="S52" s="275">
        <f t="shared" si="5"/>
        <v>408.44100000000003</v>
      </c>
      <c r="T52" s="283">
        <f t="shared" si="0"/>
        <v>7929.1890000000003</v>
      </c>
      <c r="U52" s="283">
        <f t="shared" si="6"/>
        <v>8337.630000000001</v>
      </c>
      <c r="V52" s="283">
        <f t="shared" si="7"/>
        <v>9486.4700000000012</v>
      </c>
    </row>
    <row r="53" spans="1:22" ht="24.95" customHeight="1">
      <c r="A53" s="284" t="s">
        <v>83</v>
      </c>
      <c r="B53" s="285" t="s">
        <v>17</v>
      </c>
      <c r="C53" s="286" t="s">
        <v>289</v>
      </c>
      <c r="D53" s="279">
        <v>5837</v>
      </c>
      <c r="E53" s="279">
        <v>152</v>
      </c>
      <c r="F53" s="279">
        <v>861</v>
      </c>
      <c r="G53" s="279">
        <v>70</v>
      </c>
      <c r="H53" s="279">
        <v>122</v>
      </c>
      <c r="I53" s="279">
        <v>3640</v>
      </c>
      <c r="J53" s="279">
        <v>992</v>
      </c>
      <c r="K53" s="279">
        <f t="shared" si="1"/>
        <v>4693</v>
      </c>
      <c r="L53" s="280">
        <v>8.5000000000000006E-2</v>
      </c>
      <c r="M53" s="280">
        <v>0.246</v>
      </c>
      <c r="N53" s="281">
        <v>0.20899999999999999</v>
      </c>
      <c r="O53" s="282">
        <f t="shared" si="2"/>
        <v>12.920000000000002</v>
      </c>
      <c r="P53" s="283">
        <f t="shared" si="3"/>
        <v>73.185000000000002</v>
      </c>
      <c r="Q53" s="275">
        <f t="shared" si="8"/>
        <v>5.95</v>
      </c>
      <c r="R53" s="283">
        <f t="shared" si="8"/>
        <v>30.012</v>
      </c>
      <c r="S53" s="275">
        <f t="shared" si="5"/>
        <v>35.962000000000003</v>
      </c>
      <c r="T53" s="283">
        <f t="shared" si="0"/>
        <v>895.43999999999994</v>
      </c>
      <c r="U53" s="283">
        <f t="shared" si="6"/>
        <v>931.40199999999993</v>
      </c>
      <c r="V53" s="283">
        <f t="shared" si="7"/>
        <v>1004.587</v>
      </c>
    </row>
    <row r="54" spans="1:22" ht="24.95" customHeight="1">
      <c r="A54" s="284" t="s">
        <v>110</v>
      </c>
      <c r="B54" s="285" t="s">
        <v>20</v>
      </c>
      <c r="C54" s="286" t="s">
        <v>289</v>
      </c>
      <c r="D54" s="279">
        <v>167078</v>
      </c>
      <c r="E54" s="279">
        <v>5294</v>
      </c>
      <c r="F54" s="279">
        <v>33970</v>
      </c>
      <c r="G54" s="279">
        <v>2394</v>
      </c>
      <c r="H54" s="279">
        <v>4366</v>
      </c>
      <c r="I54" s="279">
        <v>96911</v>
      </c>
      <c r="J54" s="279">
        <v>24143</v>
      </c>
      <c r="K54" s="279">
        <f t="shared" si="1"/>
        <v>137641</v>
      </c>
      <c r="L54" s="280">
        <v>7.6999999999999999E-2</v>
      </c>
      <c r="M54" s="280">
        <v>0.191</v>
      </c>
      <c r="N54" s="281">
        <v>0.157</v>
      </c>
      <c r="O54" s="282">
        <f t="shared" si="2"/>
        <v>407.63799999999998</v>
      </c>
      <c r="P54" s="283">
        <f t="shared" si="3"/>
        <v>2615.69</v>
      </c>
      <c r="Q54" s="275">
        <f t="shared" si="8"/>
        <v>184.33799999999999</v>
      </c>
      <c r="R54" s="283">
        <f t="shared" si="8"/>
        <v>833.90600000000006</v>
      </c>
      <c r="S54" s="275">
        <f t="shared" si="5"/>
        <v>1018.244</v>
      </c>
      <c r="T54" s="283">
        <f t="shared" si="0"/>
        <v>18510.001</v>
      </c>
      <c r="U54" s="283">
        <f t="shared" si="6"/>
        <v>19528.244999999999</v>
      </c>
      <c r="V54" s="283">
        <f t="shared" si="7"/>
        <v>22143.934999999998</v>
      </c>
    </row>
    <row r="55" spans="1:22" ht="24.95" customHeight="1">
      <c r="A55" s="284" t="s">
        <v>134</v>
      </c>
      <c r="B55" s="285" t="s">
        <v>295</v>
      </c>
      <c r="C55" s="286" t="s">
        <v>289</v>
      </c>
      <c r="D55" s="279">
        <v>40951</v>
      </c>
      <c r="E55" s="279">
        <v>1120</v>
      </c>
      <c r="F55" s="279">
        <v>6095</v>
      </c>
      <c r="G55" s="279">
        <v>1033</v>
      </c>
      <c r="H55" s="279">
        <v>2776</v>
      </c>
      <c r="I55" s="279">
        <v>22623</v>
      </c>
      <c r="J55" s="279">
        <v>7304</v>
      </c>
      <c r="K55" s="279">
        <f t="shared" si="1"/>
        <v>32527</v>
      </c>
      <c r="L55" s="280">
        <v>8.3000000000000004E-2</v>
      </c>
      <c r="M55" s="280">
        <v>0.20599999999999999</v>
      </c>
      <c r="N55" s="281">
        <v>0.17399999999999999</v>
      </c>
      <c r="O55" s="282">
        <f t="shared" si="2"/>
        <v>92.960000000000008</v>
      </c>
      <c r="P55" s="283">
        <f t="shared" si="3"/>
        <v>505.88500000000005</v>
      </c>
      <c r="Q55" s="275">
        <f t="shared" si="8"/>
        <v>85.739000000000004</v>
      </c>
      <c r="R55" s="283">
        <f t="shared" si="8"/>
        <v>571.85599999999999</v>
      </c>
      <c r="S55" s="275">
        <f t="shared" si="5"/>
        <v>657.59500000000003</v>
      </c>
      <c r="T55" s="283">
        <f t="shared" si="0"/>
        <v>4660.3379999999997</v>
      </c>
      <c r="U55" s="283">
        <f t="shared" si="6"/>
        <v>5317.933</v>
      </c>
      <c r="V55" s="283">
        <f t="shared" si="7"/>
        <v>5823.8180000000002</v>
      </c>
    </row>
    <row r="56" spans="1:22" ht="24.95" customHeight="1">
      <c r="A56" s="284" t="s">
        <v>48</v>
      </c>
      <c r="B56" s="285" t="s">
        <v>13</v>
      </c>
      <c r="C56" s="286" t="s">
        <v>289</v>
      </c>
      <c r="D56" s="279">
        <v>180064</v>
      </c>
      <c r="E56" s="279">
        <v>6730</v>
      </c>
      <c r="F56" s="279">
        <v>40708</v>
      </c>
      <c r="G56" s="279">
        <v>2658</v>
      </c>
      <c r="H56" s="279">
        <v>4330</v>
      </c>
      <c r="I56" s="279">
        <v>104046</v>
      </c>
      <c r="J56" s="279">
        <v>21592</v>
      </c>
      <c r="K56" s="279">
        <f t="shared" si="1"/>
        <v>151742</v>
      </c>
      <c r="L56" s="280">
        <v>8.5000000000000006E-2</v>
      </c>
      <c r="M56" s="280">
        <v>0.23300000000000001</v>
      </c>
      <c r="N56" s="281">
        <v>0.185</v>
      </c>
      <c r="O56" s="282">
        <f t="shared" si="2"/>
        <v>572.05000000000007</v>
      </c>
      <c r="P56" s="283">
        <f t="shared" si="3"/>
        <v>3460.1800000000003</v>
      </c>
      <c r="Q56" s="275">
        <f t="shared" si="8"/>
        <v>225.93</v>
      </c>
      <c r="R56" s="283">
        <f t="shared" si="8"/>
        <v>1008.8900000000001</v>
      </c>
      <c r="S56" s="275">
        <f t="shared" si="5"/>
        <v>1234.8200000000002</v>
      </c>
      <c r="T56" s="283">
        <f t="shared" si="0"/>
        <v>24242.718000000001</v>
      </c>
      <c r="U56" s="283">
        <f t="shared" si="6"/>
        <v>25477.538</v>
      </c>
      <c r="V56" s="283">
        <f t="shared" si="7"/>
        <v>28937.718000000001</v>
      </c>
    </row>
    <row r="57" spans="1:22" ht="24.95" customHeight="1">
      <c r="A57" s="284" t="s">
        <v>84</v>
      </c>
      <c r="B57" s="285" t="s">
        <v>17</v>
      </c>
      <c r="C57" s="286" t="s">
        <v>289</v>
      </c>
      <c r="D57" s="279">
        <v>10579</v>
      </c>
      <c r="E57" s="279">
        <v>303</v>
      </c>
      <c r="F57" s="279">
        <v>1877</v>
      </c>
      <c r="G57" s="279">
        <v>109</v>
      </c>
      <c r="H57" s="279">
        <v>189</v>
      </c>
      <c r="I57" s="279">
        <v>6075</v>
      </c>
      <c r="J57" s="279">
        <v>2026</v>
      </c>
      <c r="K57" s="279">
        <f t="shared" si="1"/>
        <v>8250</v>
      </c>
      <c r="L57" s="280">
        <v>8.3000000000000004E-2</v>
      </c>
      <c r="M57" s="280">
        <v>0.22700000000000001</v>
      </c>
      <c r="N57" s="281">
        <v>0.189</v>
      </c>
      <c r="O57" s="282">
        <f t="shared" si="2"/>
        <v>25.149000000000001</v>
      </c>
      <c r="P57" s="283">
        <f t="shared" si="3"/>
        <v>155.791</v>
      </c>
      <c r="Q57" s="275">
        <f t="shared" si="8"/>
        <v>9.0470000000000006</v>
      </c>
      <c r="R57" s="283">
        <f t="shared" si="8"/>
        <v>42.902999999999999</v>
      </c>
      <c r="S57" s="275">
        <f t="shared" si="5"/>
        <v>51.95</v>
      </c>
      <c r="T57" s="283">
        <f t="shared" si="0"/>
        <v>1379.0250000000001</v>
      </c>
      <c r="U57" s="283">
        <f t="shared" si="6"/>
        <v>1430.9750000000001</v>
      </c>
      <c r="V57" s="283">
        <f t="shared" si="7"/>
        <v>1586.7660000000001</v>
      </c>
    </row>
    <row r="58" spans="1:22" ht="24.95" customHeight="1">
      <c r="A58" s="284" t="s">
        <v>118</v>
      </c>
      <c r="B58" s="285" t="s">
        <v>21</v>
      </c>
      <c r="C58" s="286" t="s">
        <v>289</v>
      </c>
      <c r="D58" s="279">
        <v>60314</v>
      </c>
      <c r="E58" s="279">
        <v>2425</v>
      </c>
      <c r="F58" s="279">
        <v>12706</v>
      </c>
      <c r="G58" s="279">
        <v>798</v>
      </c>
      <c r="H58" s="279">
        <v>1537</v>
      </c>
      <c r="I58" s="279">
        <v>33681</v>
      </c>
      <c r="J58" s="279">
        <v>9167</v>
      </c>
      <c r="K58" s="279">
        <f t="shared" si="1"/>
        <v>48722</v>
      </c>
      <c r="L58" s="280">
        <v>9.4E-2</v>
      </c>
      <c r="M58" s="280">
        <v>0.222</v>
      </c>
      <c r="N58" s="281">
        <v>0.182</v>
      </c>
      <c r="O58" s="282">
        <f t="shared" si="2"/>
        <v>227.95</v>
      </c>
      <c r="P58" s="283">
        <f t="shared" si="3"/>
        <v>1194.364</v>
      </c>
      <c r="Q58" s="275">
        <f t="shared" si="8"/>
        <v>75.012</v>
      </c>
      <c r="R58" s="283">
        <f t="shared" si="8"/>
        <v>341.214</v>
      </c>
      <c r="S58" s="275">
        <f t="shared" si="5"/>
        <v>416.226</v>
      </c>
      <c r="T58" s="283">
        <f t="shared" si="0"/>
        <v>7477.1819999999998</v>
      </c>
      <c r="U58" s="283">
        <f t="shared" si="6"/>
        <v>7893.4079999999994</v>
      </c>
      <c r="V58" s="283">
        <f t="shared" si="7"/>
        <v>9087.771999999999</v>
      </c>
    </row>
    <row r="59" spans="1:22" ht="24.95" customHeight="1">
      <c r="A59" s="284" t="s">
        <v>98</v>
      </c>
      <c r="B59" s="285" t="s">
        <v>18</v>
      </c>
      <c r="C59" s="286" t="s">
        <v>289</v>
      </c>
      <c r="D59" s="279">
        <v>59016</v>
      </c>
      <c r="E59" s="279">
        <v>1935</v>
      </c>
      <c r="F59" s="279">
        <v>11469</v>
      </c>
      <c r="G59" s="279">
        <v>729</v>
      </c>
      <c r="H59" s="279">
        <v>1576</v>
      </c>
      <c r="I59" s="279">
        <v>32853</v>
      </c>
      <c r="J59" s="279">
        <v>10454</v>
      </c>
      <c r="K59" s="279">
        <f t="shared" si="1"/>
        <v>46627</v>
      </c>
      <c r="L59" s="280">
        <v>8.6999999999999994E-2</v>
      </c>
      <c r="M59" s="280">
        <v>0.20899999999999999</v>
      </c>
      <c r="N59" s="281">
        <v>0.17299999999999999</v>
      </c>
      <c r="O59" s="282">
        <f t="shared" si="2"/>
        <v>168.345</v>
      </c>
      <c r="P59" s="283">
        <f t="shared" si="3"/>
        <v>997.80299999999988</v>
      </c>
      <c r="Q59" s="275">
        <f t="shared" si="8"/>
        <v>63.422999999999995</v>
      </c>
      <c r="R59" s="283">
        <f t="shared" si="8"/>
        <v>329.38400000000001</v>
      </c>
      <c r="S59" s="275">
        <f t="shared" si="5"/>
        <v>392.80700000000002</v>
      </c>
      <c r="T59" s="283">
        <f t="shared" si="0"/>
        <v>6866.277</v>
      </c>
      <c r="U59" s="283">
        <f t="shared" si="6"/>
        <v>7259.0839999999998</v>
      </c>
      <c r="V59" s="283">
        <f t="shared" si="7"/>
        <v>8256.8869999999988</v>
      </c>
    </row>
    <row r="60" spans="1:22" ht="24.95" customHeight="1">
      <c r="A60" s="284" t="s">
        <v>111</v>
      </c>
      <c r="B60" s="285" t="s">
        <v>20</v>
      </c>
      <c r="C60" s="286" t="s">
        <v>289</v>
      </c>
      <c r="D60" s="279">
        <v>80329</v>
      </c>
      <c r="E60" s="279">
        <v>2309</v>
      </c>
      <c r="F60" s="279">
        <v>15117</v>
      </c>
      <c r="G60" s="279">
        <v>1063</v>
      </c>
      <c r="H60" s="279">
        <v>1980</v>
      </c>
      <c r="I60" s="279">
        <v>47227</v>
      </c>
      <c r="J60" s="279">
        <v>12633</v>
      </c>
      <c r="K60" s="279">
        <f t="shared" si="1"/>
        <v>65387</v>
      </c>
      <c r="L60" s="280">
        <v>7.5999999999999998E-2</v>
      </c>
      <c r="M60" s="280">
        <v>0.20300000000000001</v>
      </c>
      <c r="N60" s="281">
        <v>0.16800000000000001</v>
      </c>
      <c r="O60" s="282">
        <f t="shared" si="2"/>
        <v>175.48400000000001</v>
      </c>
      <c r="P60" s="283">
        <f t="shared" si="3"/>
        <v>1148.8920000000001</v>
      </c>
      <c r="Q60" s="275">
        <f t="shared" si="8"/>
        <v>80.787999999999997</v>
      </c>
      <c r="R60" s="283">
        <f t="shared" si="8"/>
        <v>401.94000000000005</v>
      </c>
      <c r="S60" s="275">
        <f t="shared" si="5"/>
        <v>482.72800000000007</v>
      </c>
      <c r="T60" s="283">
        <f t="shared" si="0"/>
        <v>9587.0810000000001</v>
      </c>
      <c r="U60" s="283">
        <f t="shared" si="6"/>
        <v>10069.809000000001</v>
      </c>
      <c r="V60" s="283">
        <f t="shared" si="7"/>
        <v>11218.701000000001</v>
      </c>
    </row>
    <row r="61" spans="1:22" ht="24.95" customHeight="1">
      <c r="A61" s="284" t="s">
        <v>135</v>
      </c>
      <c r="B61" s="285" t="s">
        <v>295</v>
      </c>
      <c r="C61" s="286" t="s">
        <v>289</v>
      </c>
      <c r="D61" s="279">
        <v>34133</v>
      </c>
      <c r="E61" s="279">
        <v>1009</v>
      </c>
      <c r="F61" s="279">
        <v>5431</v>
      </c>
      <c r="G61" s="279">
        <v>359</v>
      </c>
      <c r="H61" s="279">
        <v>694</v>
      </c>
      <c r="I61" s="279">
        <v>17514</v>
      </c>
      <c r="J61" s="279">
        <v>9126</v>
      </c>
      <c r="K61" s="279">
        <f t="shared" si="1"/>
        <v>23998</v>
      </c>
      <c r="L61" s="280">
        <v>8.1000000000000003E-2</v>
      </c>
      <c r="M61" s="280">
        <v>0.19500000000000001</v>
      </c>
      <c r="N61" s="281">
        <v>0.16400000000000001</v>
      </c>
      <c r="O61" s="282">
        <f t="shared" si="2"/>
        <v>81.728999999999999</v>
      </c>
      <c r="P61" s="283">
        <f t="shared" si="3"/>
        <v>439.911</v>
      </c>
      <c r="Q61" s="275">
        <f t="shared" si="8"/>
        <v>29.079000000000001</v>
      </c>
      <c r="R61" s="283">
        <f t="shared" si="8"/>
        <v>135.33000000000001</v>
      </c>
      <c r="S61" s="275">
        <f t="shared" si="5"/>
        <v>164.40900000000002</v>
      </c>
      <c r="T61" s="283">
        <f t="shared" si="0"/>
        <v>3415.23</v>
      </c>
      <c r="U61" s="283">
        <f t="shared" si="6"/>
        <v>3579.6390000000001</v>
      </c>
      <c r="V61" s="283">
        <f t="shared" si="7"/>
        <v>4019.55</v>
      </c>
    </row>
    <row r="62" spans="1:22" ht="24.95" customHeight="1">
      <c r="A62" s="284" t="s">
        <v>136</v>
      </c>
      <c r="B62" s="285" t="s">
        <v>295</v>
      </c>
      <c r="C62" s="286" t="s">
        <v>289</v>
      </c>
      <c r="D62" s="279">
        <v>21440</v>
      </c>
      <c r="E62" s="279">
        <v>576</v>
      </c>
      <c r="F62" s="279">
        <v>3427</v>
      </c>
      <c r="G62" s="279">
        <v>354</v>
      </c>
      <c r="H62" s="279">
        <v>818</v>
      </c>
      <c r="I62" s="279">
        <v>11899</v>
      </c>
      <c r="J62" s="279">
        <v>4366</v>
      </c>
      <c r="K62" s="279">
        <f t="shared" si="1"/>
        <v>16498</v>
      </c>
      <c r="L62" s="280">
        <v>7.4999999999999997E-2</v>
      </c>
      <c r="M62" s="280">
        <v>0.192</v>
      </c>
      <c r="N62" s="281">
        <v>0.161</v>
      </c>
      <c r="O62" s="282">
        <f t="shared" si="2"/>
        <v>43.199999999999996</v>
      </c>
      <c r="P62" s="283">
        <f t="shared" si="3"/>
        <v>257.02499999999998</v>
      </c>
      <c r="Q62" s="275">
        <f t="shared" si="8"/>
        <v>26.55</v>
      </c>
      <c r="R62" s="283">
        <f t="shared" si="8"/>
        <v>157.05600000000001</v>
      </c>
      <c r="S62" s="275">
        <f t="shared" si="5"/>
        <v>183.60600000000002</v>
      </c>
      <c r="T62" s="283">
        <f t="shared" si="0"/>
        <v>2284.6080000000002</v>
      </c>
      <c r="U62" s="283">
        <f t="shared" si="6"/>
        <v>2468.2140000000004</v>
      </c>
      <c r="V62" s="283">
        <f t="shared" si="7"/>
        <v>2725.2390000000005</v>
      </c>
    </row>
    <row r="63" spans="1:22" ht="24.95" customHeight="1">
      <c r="A63" s="284" t="s">
        <v>85</v>
      </c>
      <c r="B63" s="285" t="s">
        <v>17</v>
      </c>
      <c r="C63" s="286" t="s">
        <v>289</v>
      </c>
      <c r="D63" s="279">
        <v>23608</v>
      </c>
      <c r="E63" s="279">
        <v>707</v>
      </c>
      <c r="F63" s="279">
        <v>4230</v>
      </c>
      <c r="G63" s="279">
        <v>256</v>
      </c>
      <c r="H63" s="279">
        <v>498</v>
      </c>
      <c r="I63" s="279">
        <v>13154</v>
      </c>
      <c r="J63" s="279">
        <v>4763</v>
      </c>
      <c r="K63" s="279">
        <f t="shared" si="1"/>
        <v>18138</v>
      </c>
      <c r="L63" s="280">
        <v>8.5000000000000006E-2</v>
      </c>
      <c r="M63" s="280">
        <v>0.21099999999999999</v>
      </c>
      <c r="N63" s="281">
        <v>0.17599999999999999</v>
      </c>
      <c r="O63" s="282">
        <f t="shared" si="2"/>
        <v>60.095000000000006</v>
      </c>
      <c r="P63" s="283">
        <f t="shared" si="3"/>
        <v>359.55</v>
      </c>
      <c r="Q63" s="275">
        <f t="shared" si="8"/>
        <v>21.76</v>
      </c>
      <c r="R63" s="283">
        <f t="shared" si="8"/>
        <v>105.078</v>
      </c>
      <c r="S63" s="275">
        <f t="shared" si="5"/>
        <v>126.83800000000001</v>
      </c>
      <c r="T63" s="283">
        <f t="shared" si="0"/>
        <v>2775.4939999999997</v>
      </c>
      <c r="U63" s="283">
        <f t="shared" si="6"/>
        <v>2902.3319999999999</v>
      </c>
      <c r="V63" s="283">
        <f t="shared" si="7"/>
        <v>3261.8820000000001</v>
      </c>
    </row>
    <row r="64" spans="1:22" ht="24.95" customHeight="1">
      <c r="A64" s="284" t="s">
        <v>137</v>
      </c>
      <c r="B64" s="285" t="s">
        <v>295</v>
      </c>
      <c r="C64" s="286" t="s">
        <v>289</v>
      </c>
      <c r="D64" s="279">
        <v>45298</v>
      </c>
      <c r="E64" s="279">
        <v>1356</v>
      </c>
      <c r="F64" s="279">
        <v>8062</v>
      </c>
      <c r="G64" s="279">
        <v>574</v>
      </c>
      <c r="H64" s="279">
        <v>989</v>
      </c>
      <c r="I64" s="279">
        <v>25860</v>
      </c>
      <c r="J64" s="279">
        <v>8457</v>
      </c>
      <c r="K64" s="279">
        <f t="shared" si="1"/>
        <v>35485</v>
      </c>
      <c r="L64" s="280">
        <v>7.8E-2</v>
      </c>
      <c r="M64" s="280">
        <v>0.189</v>
      </c>
      <c r="N64" s="281">
        <v>0.159</v>
      </c>
      <c r="O64" s="282">
        <f t="shared" si="2"/>
        <v>105.768</v>
      </c>
      <c r="P64" s="283">
        <f t="shared" si="3"/>
        <v>628.83600000000001</v>
      </c>
      <c r="Q64" s="275">
        <f t="shared" si="8"/>
        <v>44.771999999999998</v>
      </c>
      <c r="R64" s="283">
        <f t="shared" si="8"/>
        <v>186.92099999999999</v>
      </c>
      <c r="S64" s="275">
        <f t="shared" si="5"/>
        <v>231.69299999999998</v>
      </c>
      <c r="T64" s="283">
        <f t="shared" si="0"/>
        <v>4887.54</v>
      </c>
      <c r="U64" s="283">
        <f t="shared" si="6"/>
        <v>5119.2330000000002</v>
      </c>
      <c r="V64" s="283">
        <f t="shared" si="7"/>
        <v>5748.0690000000004</v>
      </c>
    </row>
    <row r="65" spans="1:22" ht="24.95" customHeight="1">
      <c r="A65" s="284" t="s">
        <v>105</v>
      </c>
      <c r="B65" s="285" t="s">
        <v>14</v>
      </c>
      <c r="C65" s="286" t="s">
        <v>288</v>
      </c>
      <c r="D65" s="279">
        <v>1010211</v>
      </c>
      <c r="E65" s="279">
        <v>41507</v>
      </c>
      <c r="F65" s="279">
        <v>204883</v>
      </c>
      <c r="G65" s="279">
        <v>11525</v>
      </c>
      <c r="H65" s="279">
        <v>25217</v>
      </c>
      <c r="I65" s="279">
        <v>625337</v>
      </c>
      <c r="J65" s="279">
        <v>101742</v>
      </c>
      <c r="K65" s="279">
        <f t="shared" si="1"/>
        <v>866962</v>
      </c>
      <c r="L65" s="280">
        <v>8.6999999999999994E-2</v>
      </c>
      <c r="M65" s="280">
        <v>0.21199999999999999</v>
      </c>
      <c r="N65" s="281">
        <v>0.17499999999999999</v>
      </c>
      <c r="O65" s="282">
        <f t="shared" si="2"/>
        <v>3611.1089999999999</v>
      </c>
      <c r="P65" s="283">
        <f t="shared" si="3"/>
        <v>17824.821</v>
      </c>
      <c r="Q65" s="275">
        <f t="shared" si="8"/>
        <v>1002.675</v>
      </c>
      <c r="R65" s="283">
        <f t="shared" si="8"/>
        <v>5346.0039999999999</v>
      </c>
      <c r="S65" s="275">
        <f t="shared" si="5"/>
        <v>6348.6790000000001</v>
      </c>
      <c r="T65" s="283">
        <f t="shared" si="0"/>
        <v>132571.44399999999</v>
      </c>
      <c r="U65" s="283">
        <f t="shared" si="6"/>
        <v>138920.12299999999</v>
      </c>
      <c r="V65" s="283">
        <f t="shared" si="7"/>
        <v>156744.94399999999</v>
      </c>
    </row>
    <row r="66" spans="1:22" ht="24.95" customHeight="1">
      <c r="A66" s="284" t="s">
        <v>138</v>
      </c>
      <c r="B66" s="285" t="s">
        <v>295</v>
      </c>
      <c r="C66" s="286" t="s">
        <v>289</v>
      </c>
      <c r="D66" s="279">
        <v>15357</v>
      </c>
      <c r="E66" s="279">
        <v>434</v>
      </c>
      <c r="F66" s="279">
        <v>2402</v>
      </c>
      <c r="G66" s="279">
        <v>124</v>
      </c>
      <c r="H66" s="279">
        <v>259</v>
      </c>
      <c r="I66" s="279">
        <v>8639</v>
      </c>
      <c r="J66" s="279">
        <v>3499</v>
      </c>
      <c r="K66" s="279">
        <f t="shared" si="1"/>
        <v>11424</v>
      </c>
      <c r="L66" s="280">
        <v>7.5999999999999998E-2</v>
      </c>
      <c r="M66" s="280">
        <v>0.187</v>
      </c>
      <c r="N66" s="281">
        <v>0.159</v>
      </c>
      <c r="O66" s="282">
        <f t="shared" si="2"/>
        <v>32.984000000000002</v>
      </c>
      <c r="P66" s="283">
        <f t="shared" si="3"/>
        <v>182.55199999999999</v>
      </c>
      <c r="Q66" s="275">
        <f t="shared" si="8"/>
        <v>9.4239999999999995</v>
      </c>
      <c r="R66" s="283">
        <f t="shared" si="8"/>
        <v>48.433</v>
      </c>
      <c r="S66" s="275">
        <f t="shared" si="5"/>
        <v>57.856999999999999</v>
      </c>
      <c r="T66" s="283">
        <f t="shared" si="0"/>
        <v>1615.4929999999999</v>
      </c>
      <c r="U66" s="283">
        <f t="shared" si="6"/>
        <v>1673.35</v>
      </c>
      <c r="V66" s="283">
        <f t="shared" si="7"/>
        <v>1855.9019999999998</v>
      </c>
    </row>
    <row r="67" spans="1:22" ht="24.95" customHeight="1">
      <c r="A67" s="284" t="s">
        <v>119</v>
      </c>
      <c r="B67" s="285" t="s">
        <v>21</v>
      </c>
      <c r="C67" s="286" t="s">
        <v>289</v>
      </c>
      <c r="D67" s="279">
        <v>27742</v>
      </c>
      <c r="E67" s="279">
        <v>934</v>
      </c>
      <c r="F67" s="279">
        <v>5404</v>
      </c>
      <c r="G67" s="279">
        <v>380</v>
      </c>
      <c r="H67" s="279">
        <v>812</v>
      </c>
      <c r="I67" s="279">
        <v>15097</v>
      </c>
      <c r="J67" s="279">
        <v>5115</v>
      </c>
      <c r="K67" s="279">
        <f t="shared" si="1"/>
        <v>21693</v>
      </c>
      <c r="L67" s="280">
        <v>9.5000000000000001E-2</v>
      </c>
      <c r="M67" s="280">
        <v>0.22500000000000001</v>
      </c>
      <c r="N67" s="281">
        <v>0.187</v>
      </c>
      <c r="O67" s="282">
        <f t="shared" si="2"/>
        <v>88.73</v>
      </c>
      <c r="P67" s="283">
        <f t="shared" si="3"/>
        <v>513.38</v>
      </c>
      <c r="Q67" s="275">
        <f t="shared" si="8"/>
        <v>36.1</v>
      </c>
      <c r="R67" s="283">
        <f t="shared" si="8"/>
        <v>182.70000000000002</v>
      </c>
      <c r="S67" s="275">
        <f t="shared" si="5"/>
        <v>218.8</v>
      </c>
      <c r="T67" s="283">
        <f t="shared" si="0"/>
        <v>3396.8250000000003</v>
      </c>
      <c r="U67" s="283">
        <f t="shared" si="6"/>
        <v>3615.6250000000005</v>
      </c>
      <c r="V67" s="283">
        <f t="shared" si="7"/>
        <v>4129.0050000000001</v>
      </c>
    </row>
    <row r="68" spans="1:22" ht="24.95" customHeight="1">
      <c r="A68" s="284" t="s">
        <v>120</v>
      </c>
      <c r="B68" s="285" t="s">
        <v>21</v>
      </c>
      <c r="C68" s="286" t="s">
        <v>289</v>
      </c>
      <c r="D68" s="279">
        <v>93144</v>
      </c>
      <c r="E68" s="279">
        <v>2944</v>
      </c>
      <c r="F68" s="279">
        <v>16624</v>
      </c>
      <c r="G68" s="279">
        <v>1093</v>
      </c>
      <c r="H68" s="279">
        <v>1926</v>
      </c>
      <c r="I68" s="279">
        <v>47468</v>
      </c>
      <c r="J68" s="279">
        <v>23089</v>
      </c>
      <c r="K68" s="279">
        <f t="shared" si="1"/>
        <v>67111</v>
      </c>
      <c r="L68" s="280">
        <v>0.08</v>
      </c>
      <c r="M68" s="280">
        <v>0.19500000000000001</v>
      </c>
      <c r="N68" s="281">
        <v>0.16200000000000001</v>
      </c>
      <c r="O68" s="282">
        <f t="shared" si="2"/>
        <v>235.52</v>
      </c>
      <c r="P68" s="283">
        <f t="shared" si="3"/>
        <v>1329.92</v>
      </c>
      <c r="Q68" s="275">
        <f t="shared" si="8"/>
        <v>87.44</v>
      </c>
      <c r="R68" s="283">
        <f t="shared" si="8"/>
        <v>375.57</v>
      </c>
      <c r="S68" s="275">
        <f t="shared" si="5"/>
        <v>463.01</v>
      </c>
      <c r="T68" s="283">
        <f t="shared" si="0"/>
        <v>9256.26</v>
      </c>
      <c r="U68" s="283">
        <f t="shared" si="6"/>
        <v>9719.27</v>
      </c>
      <c r="V68" s="283">
        <f t="shared" si="7"/>
        <v>11049.19</v>
      </c>
    </row>
    <row r="69" spans="1:22" ht="24.95" customHeight="1">
      <c r="A69" s="284" t="s">
        <v>99</v>
      </c>
      <c r="B69" s="285" t="s">
        <v>18</v>
      </c>
      <c r="C69" s="286" t="s">
        <v>289</v>
      </c>
      <c r="D69" s="279">
        <v>94459</v>
      </c>
      <c r="E69" s="279">
        <v>3174</v>
      </c>
      <c r="F69" s="279">
        <v>18056</v>
      </c>
      <c r="G69" s="279">
        <v>1281</v>
      </c>
      <c r="H69" s="279">
        <v>2329</v>
      </c>
      <c r="I69" s="279">
        <v>54356</v>
      </c>
      <c r="J69" s="279">
        <v>15263</v>
      </c>
      <c r="K69" s="279">
        <f t="shared" si="1"/>
        <v>76022</v>
      </c>
      <c r="L69" s="280">
        <v>8.5999999999999993E-2</v>
      </c>
      <c r="M69" s="280">
        <v>0.20699999999999999</v>
      </c>
      <c r="N69" s="281">
        <v>0.17199999999999999</v>
      </c>
      <c r="O69" s="282">
        <f t="shared" si="2"/>
        <v>272.964</v>
      </c>
      <c r="P69" s="283">
        <f t="shared" si="3"/>
        <v>1552.8159999999998</v>
      </c>
      <c r="Q69" s="275">
        <f t="shared" si="8"/>
        <v>110.166</v>
      </c>
      <c r="R69" s="283">
        <f t="shared" si="8"/>
        <v>482.10299999999995</v>
      </c>
      <c r="S69" s="275">
        <f t="shared" si="5"/>
        <v>592.26900000000001</v>
      </c>
      <c r="T69" s="283">
        <f t="shared" si="0"/>
        <v>11251.691999999999</v>
      </c>
      <c r="U69" s="283">
        <f t="shared" si="6"/>
        <v>11843.960999999999</v>
      </c>
      <c r="V69" s="283">
        <f t="shared" si="7"/>
        <v>13396.776999999998</v>
      </c>
    </row>
    <row r="70" spans="1:22" ht="24.95" customHeight="1">
      <c r="A70" s="284" t="s">
        <v>71</v>
      </c>
      <c r="B70" s="285" t="s">
        <v>16</v>
      </c>
      <c r="C70" s="286" t="s">
        <v>288</v>
      </c>
      <c r="D70" s="279">
        <v>217844</v>
      </c>
      <c r="E70" s="279">
        <v>6688</v>
      </c>
      <c r="F70" s="279">
        <v>34964</v>
      </c>
      <c r="G70" s="279">
        <v>3439</v>
      </c>
      <c r="H70" s="279">
        <v>8328</v>
      </c>
      <c r="I70" s="279">
        <v>130240</v>
      </c>
      <c r="J70" s="279">
        <v>34185</v>
      </c>
      <c r="K70" s="279">
        <f t="shared" si="1"/>
        <v>176971</v>
      </c>
      <c r="L70" s="280">
        <v>7.9000000000000001E-2</v>
      </c>
      <c r="M70" s="280">
        <v>0.2</v>
      </c>
      <c r="N70" s="281">
        <v>0.16900000000000001</v>
      </c>
      <c r="O70" s="282">
        <f t="shared" si="2"/>
        <v>528.35199999999998</v>
      </c>
      <c r="P70" s="283">
        <f t="shared" si="3"/>
        <v>2762.1559999999999</v>
      </c>
      <c r="Q70" s="275">
        <f t="shared" si="8"/>
        <v>271.68099999999998</v>
      </c>
      <c r="R70" s="283">
        <f t="shared" si="8"/>
        <v>1665.6000000000001</v>
      </c>
      <c r="S70" s="275">
        <f t="shared" si="5"/>
        <v>1937.2810000000002</v>
      </c>
      <c r="T70" s="283">
        <f t="shared" ref="T70:T105" si="9">M70*I70</f>
        <v>26048</v>
      </c>
      <c r="U70" s="283">
        <f t="shared" si="6"/>
        <v>27985.280999999999</v>
      </c>
      <c r="V70" s="283">
        <f t="shared" si="7"/>
        <v>30747.436999999998</v>
      </c>
    </row>
    <row r="71" spans="1:22" ht="24.95" customHeight="1">
      <c r="A71" s="284" t="s">
        <v>86</v>
      </c>
      <c r="B71" s="285" t="s">
        <v>17</v>
      </c>
      <c r="C71" s="286" t="s">
        <v>289</v>
      </c>
      <c r="D71" s="279">
        <v>20958</v>
      </c>
      <c r="E71" s="279">
        <v>550</v>
      </c>
      <c r="F71" s="279">
        <v>3487</v>
      </c>
      <c r="G71" s="279">
        <v>194</v>
      </c>
      <c r="H71" s="279">
        <v>396</v>
      </c>
      <c r="I71" s="279">
        <v>11734</v>
      </c>
      <c r="J71" s="279">
        <v>4597</v>
      </c>
      <c r="K71" s="279">
        <f t="shared" ref="K71:K105" si="10">SUM(F71:I71)</f>
        <v>15811</v>
      </c>
      <c r="L71" s="280">
        <v>8.5999999999999993E-2</v>
      </c>
      <c r="M71" s="280">
        <v>0.23100000000000001</v>
      </c>
      <c r="N71" s="281">
        <v>0.192</v>
      </c>
      <c r="O71" s="282">
        <f t="shared" ref="O71:O105" si="11">L71*E71</f>
        <v>47.3</v>
      </c>
      <c r="P71" s="283">
        <f t="shared" ref="P71:P105" si="12">L71*F71</f>
        <v>299.88199999999995</v>
      </c>
      <c r="Q71" s="275">
        <f t="shared" ref="Q71:R105" si="13">L71*G71</f>
        <v>16.683999999999997</v>
      </c>
      <c r="R71" s="283">
        <f t="shared" si="13"/>
        <v>91.475999999999999</v>
      </c>
      <c r="S71" s="275">
        <f t="shared" ref="S71:S105" si="14">SUM(Q71:R71)</f>
        <v>108.16</v>
      </c>
      <c r="T71" s="283">
        <f t="shared" si="9"/>
        <v>2710.5540000000001</v>
      </c>
      <c r="U71" s="283">
        <f t="shared" ref="U71:U105" si="15">SUM(S71:T71)</f>
        <v>2818.7139999999999</v>
      </c>
      <c r="V71" s="283">
        <f t="shared" ref="V71:V105" si="16">SUM(P71,U71)</f>
        <v>3118.596</v>
      </c>
    </row>
    <row r="72" spans="1:22" ht="24.95" customHeight="1">
      <c r="A72" s="284" t="s">
        <v>72</v>
      </c>
      <c r="B72" s="285" t="s">
        <v>16</v>
      </c>
      <c r="C72" s="286" t="s">
        <v>289</v>
      </c>
      <c r="D72" s="279">
        <v>197742</v>
      </c>
      <c r="E72" s="279">
        <v>13004</v>
      </c>
      <c r="F72" s="279">
        <v>41876</v>
      </c>
      <c r="G72" s="279">
        <v>3129</v>
      </c>
      <c r="H72" s="279">
        <v>11685</v>
      </c>
      <c r="I72" s="279">
        <v>111366</v>
      </c>
      <c r="J72" s="279">
        <v>16682</v>
      </c>
      <c r="K72" s="279">
        <f t="shared" si="10"/>
        <v>168056</v>
      </c>
      <c r="L72" s="280">
        <v>0.08</v>
      </c>
      <c r="M72" s="280">
        <v>0.24</v>
      </c>
      <c r="N72" s="281">
        <v>0.192</v>
      </c>
      <c r="O72" s="282">
        <f t="shared" si="11"/>
        <v>1040.32</v>
      </c>
      <c r="P72" s="283">
        <f t="shared" si="12"/>
        <v>3350.08</v>
      </c>
      <c r="Q72" s="275">
        <f t="shared" si="13"/>
        <v>250.32</v>
      </c>
      <c r="R72" s="283">
        <f t="shared" si="13"/>
        <v>2804.4</v>
      </c>
      <c r="S72" s="275">
        <f t="shared" si="14"/>
        <v>3054.7200000000003</v>
      </c>
      <c r="T72" s="283">
        <f t="shared" si="9"/>
        <v>26727.84</v>
      </c>
      <c r="U72" s="283">
        <f t="shared" si="15"/>
        <v>29782.560000000001</v>
      </c>
      <c r="V72" s="283">
        <f t="shared" si="16"/>
        <v>33132.639999999999</v>
      </c>
    </row>
    <row r="73" spans="1:22" ht="24.95" customHeight="1">
      <c r="A73" s="284" t="s">
        <v>58</v>
      </c>
      <c r="B73" s="285" t="s">
        <v>14</v>
      </c>
      <c r="C73" s="286" t="s">
        <v>288</v>
      </c>
      <c r="D73" s="279">
        <v>141422</v>
      </c>
      <c r="E73" s="279">
        <v>3769</v>
      </c>
      <c r="F73" s="279">
        <v>24290</v>
      </c>
      <c r="G73" s="279">
        <v>3023</v>
      </c>
      <c r="H73" s="279">
        <v>9098</v>
      </c>
      <c r="I73" s="279">
        <v>84896</v>
      </c>
      <c r="J73" s="279">
        <v>16346</v>
      </c>
      <c r="K73" s="279">
        <f t="shared" si="10"/>
        <v>121307</v>
      </c>
      <c r="L73" s="280">
        <v>8.2000000000000003E-2</v>
      </c>
      <c r="M73" s="280">
        <v>0.19500000000000001</v>
      </c>
      <c r="N73" s="281">
        <v>0.16400000000000001</v>
      </c>
      <c r="O73" s="282">
        <f t="shared" si="11"/>
        <v>309.05799999999999</v>
      </c>
      <c r="P73" s="283">
        <f t="shared" si="12"/>
        <v>1991.78</v>
      </c>
      <c r="Q73" s="275">
        <f t="shared" si="13"/>
        <v>247.88600000000002</v>
      </c>
      <c r="R73" s="283">
        <f t="shared" si="13"/>
        <v>1774.1100000000001</v>
      </c>
      <c r="S73" s="275">
        <f t="shared" si="14"/>
        <v>2021.9960000000001</v>
      </c>
      <c r="T73" s="283">
        <f t="shared" si="9"/>
        <v>16554.72</v>
      </c>
      <c r="U73" s="283">
        <f t="shared" si="15"/>
        <v>18576.716</v>
      </c>
      <c r="V73" s="283">
        <f t="shared" si="16"/>
        <v>20568.495999999999</v>
      </c>
    </row>
    <row r="74" spans="1:22" ht="24.95" customHeight="1">
      <c r="A74" s="284" t="s">
        <v>87</v>
      </c>
      <c r="B74" s="285" t="s">
        <v>17</v>
      </c>
      <c r="C74" s="286" t="s">
        <v>289</v>
      </c>
      <c r="D74" s="279">
        <v>13071</v>
      </c>
      <c r="E74" s="279">
        <v>275</v>
      </c>
      <c r="F74" s="279">
        <v>1891</v>
      </c>
      <c r="G74" s="279">
        <v>102</v>
      </c>
      <c r="H74" s="279">
        <v>222</v>
      </c>
      <c r="I74" s="279">
        <v>7202</v>
      </c>
      <c r="J74" s="279">
        <v>3379</v>
      </c>
      <c r="K74" s="279">
        <f t="shared" si="10"/>
        <v>9417</v>
      </c>
      <c r="L74" s="280">
        <v>7.9000000000000001E-2</v>
      </c>
      <c r="M74" s="280">
        <v>0.20200000000000001</v>
      </c>
      <c r="N74" s="281">
        <v>0.17199999999999999</v>
      </c>
      <c r="O74" s="282">
        <f t="shared" si="11"/>
        <v>21.725000000000001</v>
      </c>
      <c r="P74" s="283">
        <f t="shared" si="12"/>
        <v>149.38900000000001</v>
      </c>
      <c r="Q74" s="275">
        <f t="shared" si="13"/>
        <v>8.0579999999999998</v>
      </c>
      <c r="R74" s="283">
        <f t="shared" si="13"/>
        <v>44.844000000000001</v>
      </c>
      <c r="S74" s="275">
        <f t="shared" si="14"/>
        <v>52.902000000000001</v>
      </c>
      <c r="T74" s="283">
        <f t="shared" si="9"/>
        <v>1454.8040000000001</v>
      </c>
      <c r="U74" s="283">
        <f t="shared" si="15"/>
        <v>1507.7060000000001</v>
      </c>
      <c r="V74" s="283">
        <f t="shared" si="16"/>
        <v>1657.0950000000003</v>
      </c>
    </row>
    <row r="75" spans="1:22" ht="24.95" customHeight="1">
      <c r="A75" s="284" t="s">
        <v>88</v>
      </c>
      <c r="B75" s="285" t="s">
        <v>17</v>
      </c>
      <c r="C75" s="286" t="s">
        <v>289</v>
      </c>
      <c r="D75" s="279">
        <v>38919</v>
      </c>
      <c r="E75" s="279">
        <v>1353</v>
      </c>
      <c r="F75" s="279">
        <v>7515</v>
      </c>
      <c r="G75" s="279">
        <v>718</v>
      </c>
      <c r="H75" s="279">
        <v>1499</v>
      </c>
      <c r="I75" s="279">
        <v>22108</v>
      </c>
      <c r="J75" s="279">
        <v>5726</v>
      </c>
      <c r="K75" s="279">
        <f t="shared" si="10"/>
        <v>31840</v>
      </c>
      <c r="L75" s="280">
        <v>8.2000000000000003E-2</v>
      </c>
      <c r="M75" s="280">
        <v>0.21099999999999999</v>
      </c>
      <c r="N75" s="281">
        <v>0.17399999999999999</v>
      </c>
      <c r="O75" s="282">
        <f t="shared" si="11"/>
        <v>110.946</v>
      </c>
      <c r="P75" s="283">
        <f t="shared" si="12"/>
        <v>616.23</v>
      </c>
      <c r="Q75" s="275">
        <f t="shared" si="13"/>
        <v>58.876000000000005</v>
      </c>
      <c r="R75" s="283">
        <f t="shared" si="13"/>
        <v>316.28899999999999</v>
      </c>
      <c r="S75" s="275">
        <f t="shared" si="14"/>
        <v>375.16499999999996</v>
      </c>
      <c r="T75" s="283">
        <f t="shared" si="9"/>
        <v>4664.7879999999996</v>
      </c>
      <c r="U75" s="283">
        <f t="shared" si="15"/>
        <v>5039.9529999999995</v>
      </c>
      <c r="V75" s="283">
        <f t="shared" si="16"/>
        <v>5656.1829999999991</v>
      </c>
    </row>
    <row r="76" spans="1:22" ht="24.95" customHeight="1">
      <c r="A76" s="284" t="s">
        <v>73</v>
      </c>
      <c r="B76" s="285" t="s">
        <v>16</v>
      </c>
      <c r="C76" s="286" t="s">
        <v>289</v>
      </c>
      <c r="D76" s="279">
        <v>56589</v>
      </c>
      <c r="E76" s="279">
        <v>1789</v>
      </c>
      <c r="F76" s="279">
        <v>10276</v>
      </c>
      <c r="G76" s="279">
        <v>682</v>
      </c>
      <c r="H76" s="279">
        <v>1320</v>
      </c>
      <c r="I76" s="279">
        <v>32879</v>
      </c>
      <c r="J76" s="279">
        <v>9643</v>
      </c>
      <c r="K76" s="279">
        <f t="shared" si="10"/>
        <v>45157</v>
      </c>
      <c r="L76" s="280">
        <v>0.08</v>
      </c>
      <c r="M76" s="280">
        <v>0.222</v>
      </c>
      <c r="N76" s="281">
        <v>0.182</v>
      </c>
      <c r="O76" s="282">
        <f t="shared" si="11"/>
        <v>143.12</v>
      </c>
      <c r="P76" s="283">
        <f t="shared" si="12"/>
        <v>822.08</v>
      </c>
      <c r="Q76" s="275">
        <f t="shared" si="13"/>
        <v>54.56</v>
      </c>
      <c r="R76" s="283">
        <f t="shared" si="13"/>
        <v>293.04000000000002</v>
      </c>
      <c r="S76" s="275">
        <f t="shared" si="14"/>
        <v>347.6</v>
      </c>
      <c r="T76" s="283">
        <f t="shared" si="9"/>
        <v>7299.1379999999999</v>
      </c>
      <c r="U76" s="283">
        <f t="shared" si="15"/>
        <v>7646.7380000000003</v>
      </c>
      <c r="V76" s="283">
        <f t="shared" si="16"/>
        <v>8468.8180000000011</v>
      </c>
    </row>
    <row r="77" spans="1:22" ht="24.95" customHeight="1">
      <c r="A77" s="284" t="s">
        <v>89</v>
      </c>
      <c r="B77" s="285" t="s">
        <v>17</v>
      </c>
      <c r="C77" s="286" t="s">
        <v>289</v>
      </c>
      <c r="D77" s="279">
        <v>13823</v>
      </c>
      <c r="E77" s="279">
        <v>386</v>
      </c>
      <c r="F77" s="279">
        <v>2286</v>
      </c>
      <c r="G77" s="279">
        <v>123</v>
      </c>
      <c r="H77" s="279">
        <v>293</v>
      </c>
      <c r="I77" s="279">
        <v>7276</v>
      </c>
      <c r="J77" s="279">
        <v>3459</v>
      </c>
      <c r="K77" s="279">
        <f t="shared" si="10"/>
        <v>9978</v>
      </c>
      <c r="L77" s="280">
        <v>7.6999999999999999E-2</v>
      </c>
      <c r="M77" s="280">
        <v>0.215</v>
      </c>
      <c r="N77" s="281">
        <v>0.17799999999999999</v>
      </c>
      <c r="O77" s="282">
        <f t="shared" si="11"/>
        <v>29.722000000000001</v>
      </c>
      <c r="P77" s="283">
        <f t="shared" si="12"/>
        <v>176.02199999999999</v>
      </c>
      <c r="Q77" s="275">
        <f t="shared" si="13"/>
        <v>9.4710000000000001</v>
      </c>
      <c r="R77" s="283">
        <f t="shared" si="13"/>
        <v>62.994999999999997</v>
      </c>
      <c r="S77" s="275">
        <f t="shared" si="14"/>
        <v>72.465999999999994</v>
      </c>
      <c r="T77" s="283">
        <f t="shared" si="9"/>
        <v>1564.34</v>
      </c>
      <c r="U77" s="283">
        <f t="shared" si="15"/>
        <v>1636.8059999999998</v>
      </c>
      <c r="V77" s="283">
        <f t="shared" si="16"/>
        <v>1812.8279999999997</v>
      </c>
    </row>
    <row r="78" spans="1:22" ht="24.95" customHeight="1">
      <c r="A78" s="284" t="s">
        <v>59</v>
      </c>
      <c r="B78" s="285" t="s">
        <v>14</v>
      </c>
      <c r="C78" s="286" t="s">
        <v>289</v>
      </c>
      <c r="D78" s="279">
        <v>39231</v>
      </c>
      <c r="E78" s="279">
        <v>1213</v>
      </c>
      <c r="F78" s="279">
        <v>7272</v>
      </c>
      <c r="G78" s="279">
        <v>461</v>
      </c>
      <c r="H78" s="279">
        <v>847</v>
      </c>
      <c r="I78" s="279">
        <v>22686</v>
      </c>
      <c r="J78" s="279">
        <v>6752</v>
      </c>
      <c r="K78" s="279">
        <f t="shared" si="10"/>
        <v>31266</v>
      </c>
      <c r="L78" s="280">
        <v>7.9000000000000001E-2</v>
      </c>
      <c r="M78" s="280">
        <v>0.20699999999999999</v>
      </c>
      <c r="N78" s="281">
        <v>0.17100000000000001</v>
      </c>
      <c r="O78" s="282">
        <f t="shared" si="11"/>
        <v>95.826999999999998</v>
      </c>
      <c r="P78" s="283">
        <f t="shared" si="12"/>
        <v>574.48800000000006</v>
      </c>
      <c r="Q78" s="275">
        <f t="shared" si="13"/>
        <v>36.418999999999997</v>
      </c>
      <c r="R78" s="283">
        <f t="shared" si="13"/>
        <v>175.32899999999998</v>
      </c>
      <c r="S78" s="275">
        <f t="shared" si="14"/>
        <v>211.74799999999999</v>
      </c>
      <c r="T78" s="283">
        <f t="shared" si="9"/>
        <v>4696.0019999999995</v>
      </c>
      <c r="U78" s="283">
        <f t="shared" si="15"/>
        <v>4907.7499999999991</v>
      </c>
      <c r="V78" s="283">
        <f t="shared" si="16"/>
        <v>5482.2379999999994</v>
      </c>
    </row>
    <row r="79" spans="1:22" ht="24.95" customHeight="1">
      <c r="A79" s="284" t="s">
        <v>90</v>
      </c>
      <c r="B79" s="285" t="s">
        <v>17</v>
      </c>
      <c r="C79" s="286" t="s">
        <v>289</v>
      </c>
      <c r="D79" s="279">
        <v>175446</v>
      </c>
      <c r="E79" s="279">
        <v>6239</v>
      </c>
      <c r="F79" s="279">
        <v>32465</v>
      </c>
      <c r="G79" s="279">
        <v>3837</v>
      </c>
      <c r="H79" s="279">
        <v>10948</v>
      </c>
      <c r="I79" s="279">
        <v>101970</v>
      </c>
      <c r="J79" s="279">
        <v>19987</v>
      </c>
      <c r="K79" s="279">
        <f t="shared" si="10"/>
        <v>149220</v>
      </c>
      <c r="L79" s="280">
        <v>8.5000000000000006E-2</v>
      </c>
      <c r="M79" s="280">
        <v>0.22</v>
      </c>
      <c r="N79" s="281">
        <v>0.18099999999999999</v>
      </c>
      <c r="O79" s="282">
        <f t="shared" si="11"/>
        <v>530.31500000000005</v>
      </c>
      <c r="P79" s="283">
        <f t="shared" si="12"/>
        <v>2759.5250000000001</v>
      </c>
      <c r="Q79" s="275">
        <f t="shared" si="13"/>
        <v>326.14500000000004</v>
      </c>
      <c r="R79" s="283">
        <f t="shared" si="13"/>
        <v>2408.56</v>
      </c>
      <c r="S79" s="275">
        <f t="shared" si="14"/>
        <v>2734.7049999999999</v>
      </c>
      <c r="T79" s="283">
        <f t="shared" si="9"/>
        <v>22433.4</v>
      </c>
      <c r="U79" s="283">
        <f t="shared" si="15"/>
        <v>25168.105000000003</v>
      </c>
      <c r="V79" s="283">
        <f t="shared" si="16"/>
        <v>27927.630000000005</v>
      </c>
    </row>
    <row r="80" spans="1:22" ht="24.95" customHeight="1">
      <c r="A80" s="284" t="s">
        <v>139</v>
      </c>
      <c r="B80" s="285" t="s">
        <v>295</v>
      </c>
      <c r="C80" s="286" t="s">
        <v>289</v>
      </c>
      <c r="D80" s="279">
        <v>20603</v>
      </c>
      <c r="E80" s="279">
        <v>415</v>
      </c>
      <c r="F80" s="279">
        <v>3137</v>
      </c>
      <c r="G80" s="279">
        <v>203</v>
      </c>
      <c r="H80" s="279">
        <v>416</v>
      </c>
      <c r="I80" s="279">
        <v>10857</v>
      </c>
      <c r="J80" s="279">
        <v>5575</v>
      </c>
      <c r="K80" s="279">
        <f t="shared" si="10"/>
        <v>14613</v>
      </c>
      <c r="L80" s="280">
        <v>0.08</v>
      </c>
      <c r="M80" s="280">
        <v>0.186</v>
      </c>
      <c r="N80" s="281">
        <v>0.159</v>
      </c>
      <c r="O80" s="282">
        <f t="shared" si="11"/>
        <v>33.200000000000003</v>
      </c>
      <c r="P80" s="283">
        <f t="shared" si="12"/>
        <v>250.96</v>
      </c>
      <c r="Q80" s="275">
        <f t="shared" si="13"/>
        <v>16.240000000000002</v>
      </c>
      <c r="R80" s="283">
        <f t="shared" si="13"/>
        <v>77.376000000000005</v>
      </c>
      <c r="S80" s="275">
        <f t="shared" si="14"/>
        <v>93.616000000000014</v>
      </c>
      <c r="T80" s="283">
        <f t="shared" si="9"/>
        <v>2019.402</v>
      </c>
      <c r="U80" s="283">
        <f t="shared" si="15"/>
        <v>2113.018</v>
      </c>
      <c r="V80" s="283">
        <f t="shared" si="16"/>
        <v>2363.9780000000001</v>
      </c>
    </row>
    <row r="81" spans="1:22" ht="24.95" customHeight="1">
      <c r="A81" s="284" t="s">
        <v>121</v>
      </c>
      <c r="B81" s="285" t="s">
        <v>21</v>
      </c>
      <c r="C81" s="286" t="s">
        <v>289</v>
      </c>
      <c r="D81" s="279">
        <v>142678</v>
      </c>
      <c r="E81" s="279">
        <v>4785</v>
      </c>
      <c r="F81" s="279">
        <v>28319</v>
      </c>
      <c r="G81" s="279">
        <v>1940</v>
      </c>
      <c r="H81" s="279">
        <v>3930</v>
      </c>
      <c r="I81" s="279">
        <v>80942</v>
      </c>
      <c r="J81" s="279">
        <v>22762</v>
      </c>
      <c r="K81" s="279">
        <f t="shared" si="10"/>
        <v>115131</v>
      </c>
      <c r="L81" s="280">
        <v>8.3000000000000004E-2</v>
      </c>
      <c r="M81" s="280">
        <v>0.20499999999999999</v>
      </c>
      <c r="N81" s="281">
        <v>0.16900000000000001</v>
      </c>
      <c r="O81" s="282">
        <f t="shared" si="11"/>
        <v>397.15500000000003</v>
      </c>
      <c r="P81" s="283">
        <f t="shared" si="12"/>
        <v>2350.4770000000003</v>
      </c>
      <c r="Q81" s="275">
        <f t="shared" si="13"/>
        <v>161.02000000000001</v>
      </c>
      <c r="R81" s="283">
        <f t="shared" si="13"/>
        <v>805.65</v>
      </c>
      <c r="S81" s="275">
        <f t="shared" si="14"/>
        <v>966.67</v>
      </c>
      <c r="T81" s="283">
        <f t="shared" si="9"/>
        <v>16593.11</v>
      </c>
      <c r="U81" s="283">
        <f t="shared" si="15"/>
        <v>17559.78</v>
      </c>
      <c r="V81" s="283">
        <f t="shared" si="16"/>
        <v>19910.256999999998</v>
      </c>
    </row>
    <row r="82" spans="1:22" ht="24.95" customHeight="1">
      <c r="A82" s="284" t="s">
        <v>122</v>
      </c>
      <c r="B82" s="285" t="s">
        <v>21</v>
      </c>
      <c r="C82" s="286" t="s">
        <v>289</v>
      </c>
      <c r="D82" s="279">
        <v>46030</v>
      </c>
      <c r="E82" s="279">
        <v>1591</v>
      </c>
      <c r="F82" s="279">
        <v>9254</v>
      </c>
      <c r="G82" s="279">
        <v>718</v>
      </c>
      <c r="H82" s="279">
        <v>1444</v>
      </c>
      <c r="I82" s="279">
        <v>25675</v>
      </c>
      <c r="J82" s="279">
        <v>7348</v>
      </c>
      <c r="K82" s="279">
        <f t="shared" si="10"/>
        <v>37091</v>
      </c>
      <c r="L82" s="280">
        <v>8.5999999999999993E-2</v>
      </c>
      <c r="M82" s="280">
        <v>0.22800000000000001</v>
      </c>
      <c r="N82" s="281">
        <v>0.186</v>
      </c>
      <c r="O82" s="282">
        <f t="shared" si="11"/>
        <v>136.82599999999999</v>
      </c>
      <c r="P82" s="283">
        <f t="shared" si="12"/>
        <v>795.84399999999994</v>
      </c>
      <c r="Q82" s="275">
        <f t="shared" si="13"/>
        <v>61.747999999999998</v>
      </c>
      <c r="R82" s="283">
        <f t="shared" si="13"/>
        <v>329.23200000000003</v>
      </c>
      <c r="S82" s="275">
        <f t="shared" si="14"/>
        <v>390.98</v>
      </c>
      <c r="T82" s="283">
        <f t="shared" si="9"/>
        <v>5853.9000000000005</v>
      </c>
      <c r="U82" s="283">
        <f t="shared" si="15"/>
        <v>6244.880000000001</v>
      </c>
      <c r="V82" s="283">
        <f t="shared" si="16"/>
        <v>7040.7240000000011</v>
      </c>
    </row>
    <row r="83" spans="1:22" ht="24.95" customHeight="1">
      <c r="A83" s="284" t="s">
        <v>100</v>
      </c>
      <c r="B83" s="285" t="s">
        <v>18</v>
      </c>
      <c r="C83" s="286" t="s">
        <v>289</v>
      </c>
      <c r="D83" s="279">
        <v>133599</v>
      </c>
      <c r="E83" s="279">
        <v>5273</v>
      </c>
      <c r="F83" s="279">
        <v>28469</v>
      </c>
      <c r="G83" s="279">
        <v>2390</v>
      </c>
      <c r="H83" s="279">
        <v>4866</v>
      </c>
      <c r="I83" s="279">
        <v>75003</v>
      </c>
      <c r="J83" s="279">
        <v>17598</v>
      </c>
      <c r="K83" s="279">
        <f t="shared" si="10"/>
        <v>110728</v>
      </c>
      <c r="L83" s="280">
        <v>9.8000000000000004E-2</v>
      </c>
      <c r="M83" s="280">
        <v>0.254</v>
      </c>
      <c r="N83" s="281">
        <v>0.20300000000000001</v>
      </c>
      <c r="O83" s="282">
        <f t="shared" si="11"/>
        <v>516.75400000000002</v>
      </c>
      <c r="P83" s="283">
        <f t="shared" si="12"/>
        <v>2789.962</v>
      </c>
      <c r="Q83" s="275">
        <f t="shared" si="13"/>
        <v>234.22</v>
      </c>
      <c r="R83" s="283">
        <f t="shared" si="13"/>
        <v>1235.9639999999999</v>
      </c>
      <c r="S83" s="275">
        <f t="shared" si="14"/>
        <v>1470.184</v>
      </c>
      <c r="T83" s="283">
        <f t="shared" si="9"/>
        <v>19050.761999999999</v>
      </c>
      <c r="U83" s="283">
        <f t="shared" si="15"/>
        <v>20520.946</v>
      </c>
      <c r="V83" s="283">
        <f t="shared" si="16"/>
        <v>23310.907999999999</v>
      </c>
    </row>
    <row r="84" spans="1:22" ht="24.95" customHeight="1">
      <c r="A84" s="284" t="s">
        <v>67</v>
      </c>
      <c r="B84" s="285" t="s">
        <v>15</v>
      </c>
      <c r="C84" s="286" t="s">
        <v>289</v>
      </c>
      <c r="D84" s="279">
        <v>91775</v>
      </c>
      <c r="E84" s="279">
        <v>2767</v>
      </c>
      <c r="F84" s="279">
        <v>16442</v>
      </c>
      <c r="G84" s="279">
        <v>1105</v>
      </c>
      <c r="H84" s="279">
        <v>2228</v>
      </c>
      <c r="I84" s="279">
        <v>52569</v>
      </c>
      <c r="J84" s="279">
        <v>16664</v>
      </c>
      <c r="K84" s="279">
        <f t="shared" si="10"/>
        <v>72344</v>
      </c>
      <c r="L84" s="280">
        <v>0.08</v>
      </c>
      <c r="M84" s="280">
        <v>0.20300000000000001</v>
      </c>
      <c r="N84" s="281">
        <v>0.17</v>
      </c>
      <c r="O84" s="282">
        <f t="shared" si="11"/>
        <v>221.36</v>
      </c>
      <c r="P84" s="283">
        <f t="shared" si="12"/>
        <v>1315.3600000000001</v>
      </c>
      <c r="Q84" s="275">
        <f t="shared" si="13"/>
        <v>88.4</v>
      </c>
      <c r="R84" s="283">
        <f t="shared" si="13"/>
        <v>452.28400000000005</v>
      </c>
      <c r="S84" s="275">
        <f t="shared" si="14"/>
        <v>540.68400000000008</v>
      </c>
      <c r="T84" s="283">
        <f t="shared" si="9"/>
        <v>10671.507000000001</v>
      </c>
      <c r="U84" s="283">
        <f t="shared" si="15"/>
        <v>11212.191000000001</v>
      </c>
      <c r="V84" s="283">
        <f t="shared" si="16"/>
        <v>12527.551000000001</v>
      </c>
    </row>
    <row r="85" spans="1:22" ht="24.95" customHeight="1">
      <c r="A85" s="284" t="s">
        <v>60</v>
      </c>
      <c r="B85" s="285" t="s">
        <v>14</v>
      </c>
      <c r="C85" s="286" t="s">
        <v>288</v>
      </c>
      <c r="D85" s="279">
        <v>139161</v>
      </c>
      <c r="E85" s="279">
        <v>4596</v>
      </c>
      <c r="F85" s="279">
        <v>27054</v>
      </c>
      <c r="G85" s="279">
        <v>1863</v>
      </c>
      <c r="H85" s="279">
        <v>3844</v>
      </c>
      <c r="I85" s="279">
        <v>79702</v>
      </c>
      <c r="J85" s="279">
        <v>22102</v>
      </c>
      <c r="K85" s="279">
        <f t="shared" si="10"/>
        <v>112463</v>
      </c>
      <c r="L85" s="280">
        <v>8.2000000000000003E-2</v>
      </c>
      <c r="M85" s="280">
        <v>0.20799999999999999</v>
      </c>
      <c r="N85" s="281">
        <v>0.17199999999999999</v>
      </c>
      <c r="O85" s="282">
        <f t="shared" si="11"/>
        <v>376.87200000000001</v>
      </c>
      <c r="P85" s="283">
        <f t="shared" si="12"/>
        <v>2218.4279999999999</v>
      </c>
      <c r="Q85" s="275">
        <f t="shared" si="13"/>
        <v>152.76600000000002</v>
      </c>
      <c r="R85" s="283">
        <f t="shared" si="13"/>
        <v>799.55199999999991</v>
      </c>
      <c r="S85" s="275">
        <f t="shared" si="14"/>
        <v>952.31799999999998</v>
      </c>
      <c r="T85" s="283">
        <f t="shared" si="9"/>
        <v>16578.016</v>
      </c>
      <c r="U85" s="283">
        <f t="shared" si="15"/>
        <v>17530.333999999999</v>
      </c>
      <c r="V85" s="283">
        <f t="shared" si="16"/>
        <v>19748.761999999999</v>
      </c>
    </row>
    <row r="86" spans="1:22" ht="24.95" customHeight="1">
      <c r="A86" s="284" t="s">
        <v>140</v>
      </c>
      <c r="B86" s="285" t="s">
        <v>295</v>
      </c>
      <c r="C86" s="286" t="s">
        <v>289</v>
      </c>
      <c r="D86" s="279">
        <v>67535</v>
      </c>
      <c r="E86" s="279">
        <v>2043</v>
      </c>
      <c r="F86" s="279">
        <v>12288</v>
      </c>
      <c r="G86" s="279">
        <v>914</v>
      </c>
      <c r="H86" s="279">
        <v>1528</v>
      </c>
      <c r="I86" s="279">
        <v>37607</v>
      </c>
      <c r="J86" s="279">
        <v>13155</v>
      </c>
      <c r="K86" s="279">
        <f t="shared" si="10"/>
        <v>52337</v>
      </c>
      <c r="L86" s="280">
        <v>7.9000000000000001E-2</v>
      </c>
      <c r="M86" s="280">
        <v>0.20200000000000001</v>
      </c>
      <c r="N86" s="281">
        <v>0.16800000000000001</v>
      </c>
      <c r="O86" s="282">
        <f t="shared" si="11"/>
        <v>161.39699999999999</v>
      </c>
      <c r="P86" s="283">
        <f t="shared" si="12"/>
        <v>970.75199999999995</v>
      </c>
      <c r="Q86" s="275">
        <f t="shared" si="13"/>
        <v>72.206000000000003</v>
      </c>
      <c r="R86" s="283">
        <f t="shared" si="13"/>
        <v>308.65600000000001</v>
      </c>
      <c r="S86" s="275">
        <f t="shared" si="14"/>
        <v>380.86200000000002</v>
      </c>
      <c r="T86" s="283">
        <f t="shared" si="9"/>
        <v>7596.6140000000005</v>
      </c>
      <c r="U86" s="283">
        <f t="shared" si="15"/>
        <v>7977.4760000000006</v>
      </c>
      <c r="V86" s="283">
        <f t="shared" si="16"/>
        <v>8948.228000000001</v>
      </c>
    </row>
    <row r="87" spans="1:22" ht="24.95" customHeight="1">
      <c r="A87" s="284" t="s">
        <v>101</v>
      </c>
      <c r="B87" s="285" t="s">
        <v>18</v>
      </c>
      <c r="C87" s="286" t="s">
        <v>289</v>
      </c>
      <c r="D87" s="279">
        <v>64553</v>
      </c>
      <c r="E87" s="279">
        <v>2524</v>
      </c>
      <c r="F87" s="279">
        <v>13492</v>
      </c>
      <c r="G87" s="279">
        <v>914</v>
      </c>
      <c r="H87" s="279">
        <v>1811</v>
      </c>
      <c r="I87" s="279">
        <v>35579</v>
      </c>
      <c r="J87" s="279">
        <v>10233</v>
      </c>
      <c r="K87" s="279">
        <f t="shared" si="10"/>
        <v>51796</v>
      </c>
      <c r="L87" s="280">
        <v>9.6000000000000002E-2</v>
      </c>
      <c r="M87" s="280">
        <v>0.26</v>
      </c>
      <c r="N87" s="281">
        <v>0.21</v>
      </c>
      <c r="O87" s="282">
        <f t="shared" si="11"/>
        <v>242.304</v>
      </c>
      <c r="P87" s="283">
        <f t="shared" si="12"/>
        <v>1295.232</v>
      </c>
      <c r="Q87" s="275">
        <f t="shared" si="13"/>
        <v>87.744</v>
      </c>
      <c r="R87" s="283">
        <f t="shared" si="13"/>
        <v>470.86</v>
      </c>
      <c r="S87" s="275">
        <f t="shared" si="14"/>
        <v>558.60400000000004</v>
      </c>
      <c r="T87" s="283">
        <f t="shared" si="9"/>
        <v>9250.5400000000009</v>
      </c>
      <c r="U87" s="283">
        <f t="shared" si="15"/>
        <v>9809.1440000000002</v>
      </c>
      <c r="V87" s="283">
        <f t="shared" si="16"/>
        <v>11104.376</v>
      </c>
    </row>
    <row r="88" spans="1:22" ht="24.95" customHeight="1">
      <c r="A88" s="284" t="s">
        <v>102</v>
      </c>
      <c r="B88" s="285" t="s">
        <v>18</v>
      </c>
      <c r="C88" s="286" t="s">
        <v>289</v>
      </c>
      <c r="D88" s="279">
        <v>36120</v>
      </c>
      <c r="E88" s="279">
        <v>1315</v>
      </c>
      <c r="F88" s="279">
        <v>7348</v>
      </c>
      <c r="G88" s="279">
        <v>469</v>
      </c>
      <c r="H88" s="279">
        <v>966</v>
      </c>
      <c r="I88" s="279">
        <v>20380</v>
      </c>
      <c r="J88" s="279">
        <v>5642</v>
      </c>
      <c r="K88" s="279">
        <f t="shared" si="10"/>
        <v>29163</v>
      </c>
      <c r="L88" s="280">
        <v>8.5000000000000006E-2</v>
      </c>
      <c r="M88" s="280">
        <v>0.217</v>
      </c>
      <c r="N88" s="281">
        <v>0.17699999999999999</v>
      </c>
      <c r="O88" s="282">
        <f t="shared" si="11"/>
        <v>111.77500000000001</v>
      </c>
      <c r="P88" s="283">
        <f t="shared" si="12"/>
        <v>624.58000000000004</v>
      </c>
      <c r="Q88" s="275">
        <f t="shared" si="13"/>
        <v>39.865000000000002</v>
      </c>
      <c r="R88" s="283">
        <f t="shared" si="13"/>
        <v>209.62199999999999</v>
      </c>
      <c r="S88" s="275">
        <f t="shared" si="14"/>
        <v>249.48699999999999</v>
      </c>
      <c r="T88" s="283">
        <f t="shared" si="9"/>
        <v>4422.46</v>
      </c>
      <c r="U88" s="283">
        <f t="shared" si="15"/>
        <v>4671.9470000000001</v>
      </c>
      <c r="V88" s="283">
        <f t="shared" si="16"/>
        <v>5296.527</v>
      </c>
    </row>
    <row r="89" spans="1:22" ht="24.95" customHeight="1">
      <c r="A89" s="284" t="s">
        <v>61</v>
      </c>
      <c r="B89" s="285" t="s">
        <v>14</v>
      </c>
      <c r="C89" s="286" t="s">
        <v>289</v>
      </c>
      <c r="D89" s="279">
        <v>60562</v>
      </c>
      <c r="E89" s="279">
        <v>1889</v>
      </c>
      <c r="F89" s="279">
        <v>11120</v>
      </c>
      <c r="G89" s="279">
        <v>773</v>
      </c>
      <c r="H89" s="279">
        <v>1632</v>
      </c>
      <c r="I89" s="279">
        <v>34627</v>
      </c>
      <c r="J89" s="279">
        <v>10521</v>
      </c>
      <c r="K89" s="279">
        <f t="shared" si="10"/>
        <v>48152</v>
      </c>
      <c r="L89" s="280">
        <v>7.4999999999999997E-2</v>
      </c>
      <c r="M89" s="280">
        <v>0.189</v>
      </c>
      <c r="N89" s="281">
        <v>0.156</v>
      </c>
      <c r="O89" s="282">
        <f t="shared" si="11"/>
        <v>141.67499999999998</v>
      </c>
      <c r="P89" s="283">
        <f t="shared" si="12"/>
        <v>834</v>
      </c>
      <c r="Q89" s="275">
        <f t="shared" si="13"/>
        <v>57.974999999999994</v>
      </c>
      <c r="R89" s="283">
        <f t="shared" si="13"/>
        <v>308.44799999999998</v>
      </c>
      <c r="S89" s="275">
        <f t="shared" si="14"/>
        <v>366.423</v>
      </c>
      <c r="T89" s="283">
        <f t="shared" si="9"/>
        <v>6544.5029999999997</v>
      </c>
      <c r="U89" s="283">
        <f t="shared" si="15"/>
        <v>6910.9259999999995</v>
      </c>
      <c r="V89" s="283">
        <f t="shared" si="16"/>
        <v>7744.9259999999995</v>
      </c>
    </row>
    <row r="90" spans="1:22" ht="24.95" customHeight="1">
      <c r="A90" s="284" t="s">
        <v>68</v>
      </c>
      <c r="B90" s="285" t="s">
        <v>15</v>
      </c>
      <c r="C90" s="286" t="s">
        <v>289</v>
      </c>
      <c r="D90" s="279">
        <v>46409</v>
      </c>
      <c r="E90" s="279">
        <v>1190</v>
      </c>
      <c r="F90" s="279">
        <v>8065</v>
      </c>
      <c r="G90" s="279">
        <v>510</v>
      </c>
      <c r="H90" s="279">
        <v>1019</v>
      </c>
      <c r="I90" s="279">
        <v>27173</v>
      </c>
      <c r="J90" s="279">
        <v>8452</v>
      </c>
      <c r="K90" s="279">
        <f t="shared" si="10"/>
        <v>36767</v>
      </c>
      <c r="L90" s="280">
        <v>7.0999999999999994E-2</v>
      </c>
      <c r="M90" s="280">
        <v>0.2</v>
      </c>
      <c r="N90" s="281">
        <v>0.16500000000000001</v>
      </c>
      <c r="O90" s="282">
        <f t="shared" si="11"/>
        <v>84.49</v>
      </c>
      <c r="P90" s="283">
        <f t="shared" si="12"/>
        <v>572.6149999999999</v>
      </c>
      <c r="Q90" s="275">
        <f t="shared" si="13"/>
        <v>36.209999999999994</v>
      </c>
      <c r="R90" s="283">
        <f t="shared" si="13"/>
        <v>203.8</v>
      </c>
      <c r="S90" s="275">
        <f t="shared" si="14"/>
        <v>240.01</v>
      </c>
      <c r="T90" s="283">
        <f t="shared" si="9"/>
        <v>5434.6</v>
      </c>
      <c r="U90" s="283">
        <f t="shared" si="15"/>
        <v>5674.6100000000006</v>
      </c>
      <c r="V90" s="283">
        <f t="shared" si="16"/>
        <v>6247.2250000000004</v>
      </c>
    </row>
    <row r="91" spans="1:22" ht="24.95" customHeight="1">
      <c r="A91" s="284" t="s">
        <v>112</v>
      </c>
      <c r="B91" s="285" t="s">
        <v>20</v>
      </c>
      <c r="C91" s="286" t="s">
        <v>289</v>
      </c>
      <c r="D91" s="279">
        <v>73368</v>
      </c>
      <c r="E91" s="279">
        <v>2279</v>
      </c>
      <c r="F91" s="279">
        <v>13871</v>
      </c>
      <c r="G91" s="279">
        <v>979</v>
      </c>
      <c r="H91" s="279">
        <v>2055</v>
      </c>
      <c r="I91" s="279">
        <v>40781</v>
      </c>
      <c r="J91" s="279">
        <v>13403</v>
      </c>
      <c r="K91" s="279">
        <f t="shared" si="10"/>
        <v>57686</v>
      </c>
      <c r="L91" s="280">
        <v>8.4000000000000005E-2</v>
      </c>
      <c r="M91" s="280">
        <v>0.19700000000000001</v>
      </c>
      <c r="N91" s="281">
        <v>0.16500000000000001</v>
      </c>
      <c r="O91" s="282">
        <f t="shared" si="11"/>
        <v>191.43600000000001</v>
      </c>
      <c r="P91" s="283">
        <f t="shared" si="12"/>
        <v>1165.164</v>
      </c>
      <c r="Q91" s="275">
        <f t="shared" si="13"/>
        <v>82.236000000000004</v>
      </c>
      <c r="R91" s="283">
        <f t="shared" si="13"/>
        <v>404.83500000000004</v>
      </c>
      <c r="S91" s="275">
        <f t="shared" si="14"/>
        <v>487.07100000000003</v>
      </c>
      <c r="T91" s="283">
        <f t="shared" si="9"/>
        <v>8033.857</v>
      </c>
      <c r="U91" s="283">
        <f t="shared" si="15"/>
        <v>8520.9279999999999</v>
      </c>
      <c r="V91" s="283">
        <f t="shared" si="16"/>
        <v>9686.0920000000006</v>
      </c>
    </row>
    <row r="92" spans="1:22" ht="24.95" customHeight="1">
      <c r="A92" s="284" t="s">
        <v>141</v>
      </c>
      <c r="B92" s="285" t="s">
        <v>295</v>
      </c>
      <c r="C92" s="286" t="s">
        <v>289</v>
      </c>
      <c r="D92" s="279">
        <v>14750</v>
      </c>
      <c r="E92" s="279">
        <v>610</v>
      </c>
      <c r="F92" s="279">
        <v>2843</v>
      </c>
      <c r="G92" s="279">
        <v>174</v>
      </c>
      <c r="H92" s="279">
        <v>338</v>
      </c>
      <c r="I92" s="279">
        <v>8103</v>
      </c>
      <c r="J92" s="279">
        <v>2682</v>
      </c>
      <c r="K92" s="279">
        <f t="shared" si="10"/>
        <v>11458</v>
      </c>
      <c r="L92" s="280">
        <v>9.4E-2</v>
      </c>
      <c r="M92" s="280">
        <v>0.218</v>
      </c>
      <c r="N92" s="281">
        <v>0.18099999999999999</v>
      </c>
      <c r="O92" s="282">
        <f t="shared" si="11"/>
        <v>57.34</v>
      </c>
      <c r="P92" s="283">
        <f t="shared" si="12"/>
        <v>267.24200000000002</v>
      </c>
      <c r="Q92" s="275">
        <f t="shared" si="13"/>
        <v>16.356000000000002</v>
      </c>
      <c r="R92" s="283">
        <f t="shared" si="13"/>
        <v>73.683999999999997</v>
      </c>
      <c r="S92" s="275">
        <f t="shared" si="14"/>
        <v>90.039999999999992</v>
      </c>
      <c r="T92" s="283">
        <f t="shared" si="9"/>
        <v>1766.454</v>
      </c>
      <c r="U92" s="283">
        <f t="shared" si="15"/>
        <v>1856.4939999999999</v>
      </c>
      <c r="V92" s="283">
        <f t="shared" si="16"/>
        <v>2123.7359999999999</v>
      </c>
    </row>
    <row r="93" spans="1:22" ht="24.95" customHeight="1">
      <c r="A93" s="284" t="s">
        <v>142</v>
      </c>
      <c r="B93" s="285" t="s">
        <v>295</v>
      </c>
      <c r="C93" s="286" t="s">
        <v>289</v>
      </c>
      <c r="D93" s="279">
        <v>33231</v>
      </c>
      <c r="E93" s="279">
        <v>813</v>
      </c>
      <c r="F93" s="279">
        <v>4833</v>
      </c>
      <c r="G93" s="279">
        <v>457</v>
      </c>
      <c r="H93" s="279">
        <v>835</v>
      </c>
      <c r="I93" s="279">
        <v>16682</v>
      </c>
      <c r="J93" s="279">
        <v>9611</v>
      </c>
      <c r="K93" s="279">
        <f t="shared" si="10"/>
        <v>22807</v>
      </c>
      <c r="L93" s="280">
        <v>7.6999999999999999E-2</v>
      </c>
      <c r="M93" s="280">
        <v>0.185</v>
      </c>
      <c r="N93" s="281">
        <v>0.157</v>
      </c>
      <c r="O93" s="282">
        <f t="shared" si="11"/>
        <v>62.600999999999999</v>
      </c>
      <c r="P93" s="283">
        <f t="shared" si="12"/>
        <v>372.14100000000002</v>
      </c>
      <c r="Q93" s="275">
        <f t="shared" si="13"/>
        <v>35.189</v>
      </c>
      <c r="R93" s="283">
        <f t="shared" si="13"/>
        <v>154.47499999999999</v>
      </c>
      <c r="S93" s="275">
        <f t="shared" si="14"/>
        <v>189.66399999999999</v>
      </c>
      <c r="T93" s="283">
        <f t="shared" si="9"/>
        <v>3086.17</v>
      </c>
      <c r="U93" s="283">
        <f t="shared" si="15"/>
        <v>3275.8339999999998</v>
      </c>
      <c r="V93" s="283">
        <f t="shared" si="16"/>
        <v>3647.9749999999999</v>
      </c>
    </row>
    <row r="94" spans="1:22" ht="24.95" customHeight="1">
      <c r="A94" s="284" t="s">
        <v>91</v>
      </c>
      <c r="B94" s="285" t="s">
        <v>17</v>
      </c>
      <c r="C94" s="286" t="s">
        <v>289</v>
      </c>
      <c r="D94" s="279">
        <v>4114</v>
      </c>
      <c r="E94" s="279">
        <v>124</v>
      </c>
      <c r="F94" s="279">
        <v>613</v>
      </c>
      <c r="G94" s="279">
        <v>36</v>
      </c>
      <c r="H94" s="279">
        <v>74</v>
      </c>
      <c r="I94" s="279">
        <v>2493</v>
      </c>
      <c r="J94" s="279">
        <v>774</v>
      </c>
      <c r="K94" s="279">
        <f t="shared" si="10"/>
        <v>3216</v>
      </c>
      <c r="L94" s="280">
        <v>0.09</v>
      </c>
      <c r="M94" s="280">
        <v>0.26600000000000001</v>
      </c>
      <c r="N94" s="281">
        <v>0.22500000000000001</v>
      </c>
      <c r="O94" s="282">
        <f t="shared" si="11"/>
        <v>11.16</v>
      </c>
      <c r="P94" s="283">
        <f t="shared" si="12"/>
        <v>55.169999999999995</v>
      </c>
      <c r="Q94" s="275">
        <f t="shared" si="13"/>
        <v>3.2399999999999998</v>
      </c>
      <c r="R94" s="283">
        <f t="shared" si="13"/>
        <v>19.684000000000001</v>
      </c>
      <c r="S94" s="275">
        <f t="shared" si="14"/>
        <v>22.923999999999999</v>
      </c>
      <c r="T94" s="283">
        <f t="shared" si="9"/>
        <v>663.13800000000003</v>
      </c>
      <c r="U94" s="283">
        <f t="shared" si="15"/>
        <v>686.06200000000001</v>
      </c>
      <c r="V94" s="283">
        <f t="shared" si="16"/>
        <v>741.23199999999997</v>
      </c>
    </row>
    <row r="95" spans="1:22" ht="24.95" customHeight="1">
      <c r="A95" s="284" t="s">
        <v>62</v>
      </c>
      <c r="B95" s="285" t="s">
        <v>14</v>
      </c>
      <c r="C95" s="286" t="s">
        <v>289</v>
      </c>
      <c r="D95" s="279">
        <v>215416</v>
      </c>
      <c r="E95" s="279">
        <v>7295</v>
      </c>
      <c r="F95" s="279">
        <v>52030</v>
      </c>
      <c r="G95" s="279">
        <v>3589</v>
      </c>
      <c r="H95" s="279">
        <v>5693</v>
      </c>
      <c r="I95" s="279">
        <v>122361</v>
      </c>
      <c r="J95" s="279">
        <v>24448</v>
      </c>
      <c r="K95" s="279">
        <f t="shared" si="10"/>
        <v>183673</v>
      </c>
      <c r="L95" s="280">
        <v>7.6999999999999999E-2</v>
      </c>
      <c r="M95" s="280">
        <v>0.21299999999999999</v>
      </c>
      <c r="N95" s="281">
        <v>0.16600000000000001</v>
      </c>
      <c r="O95" s="282">
        <f t="shared" si="11"/>
        <v>561.71500000000003</v>
      </c>
      <c r="P95" s="283">
        <f t="shared" si="12"/>
        <v>4006.31</v>
      </c>
      <c r="Q95" s="275">
        <f t="shared" si="13"/>
        <v>276.35300000000001</v>
      </c>
      <c r="R95" s="283">
        <f t="shared" si="13"/>
        <v>1212.6089999999999</v>
      </c>
      <c r="S95" s="275">
        <f t="shared" si="14"/>
        <v>1488.962</v>
      </c>
      <c r="T95" s="283">
        <f t="shared" si="9"/>
        <v>26062.893</v>
      </c>
      <c r="U95" s="283">
        <f t="shared" si="15"/>
        <v>27551.855</v>
      </c>
      <c r="V95" s="283">
        <f t="shared" si="16"/>
        <v>31558.165000000001</v>
      </c>
    </row>
    <row r="96" spans="1:22" ht="24.95" customHeight="1">
      <c r="A96" s="284" t="s">
        <v>63</v>
      </c>
      <c r="B96" s="285" t="s">
        <v>14</v>
      </c>
      <c r="C96" s="286" t="s">
        <v>289</v>
      </c>
      <c r="D96" s="279">
        <v>44977</v>
      </c>
      <c r="E96" s="279">
        <v>1666</v>
      </c>
      <c r="F96" s="279">
        <v>9187</v>
      </c>
      <c r="G96" s="279">
        <v>611</v>
      </c>
      <c r="H96" s="279">
        <v>1238</v>
      </c>
      <c r="I96" s="279">
        <v>25034</v>
      </c>
      <c r="J96" s="279">
        <v>7241</v>
      </c>
      <c r="K96" s="279">
        <f t="shared" si="10"/>
        <v>36070</v>
      </c>
      <c r="L96" s="280">
        <v>9.0999999999999998E-2</v>
      </c>
      <c r="M96" s="280">
        <v>0.23200000000000001</v>
      </c>
      <c r="N96" s="281">
        <v>0.188</v>
      </c>
      <c r="O96" s="282">
        <f t="shared" si="11"/>
        <v>151.60599999999999</v>
      </c>
      <c r="P96" s="283">
        <f t="shared" si="12"/>
        <v>836.01699999999994</v>
      </c>
      <c r="Q96" s="275">
        <f t="shared" si="13"/>
        <v>55.600999999999999</v>
      </c>
      <c r="R96" s="283">
        <f t="shared" si="13"/>
        <v>287.21600000000001</v>
      </c>
      <c r="S96" s="275">
        <f t="shared" si="14"/>
        <v>342.81700000000001</v>
      </c>
      <c r="T96" s="283">
        <f t="shared" si="9"/>
        <v>5807.8879999999999</v>
      </c>
      <c r="U96" s="283">
        <f t="shared" si="15"/>
        <v>6150.7049999999999</v>
      </c>
      <c r="V96" s="283">
        <f t="shared" si="16"/>
        <v>6986.7219999999998</v>
      </c>
    </row>
    <row r="97" spans="1:22" ht="24.95" customHeight="1">
      <c r="A97" s="284" t="s">
        <v>49</v>
      </c>
      <c r="B97" s="285" t="s">
        <v>13</v>
      </c>
      <c r="C97" s="286" t="s">
        <v>288</v>
      </c>
      <c r="D97" s="279">
        <v>985146</v>
      </c>
      <c r="E97" s="279">
        <v>37294</v>
      </c>
      <c r="F97" s="279">
        <v>208100</v>
      </c>
      <c r="G97" s="279">
        <v>13145</v>
      </c>
      <c r="H97" s="279">
        <v>26037</v>
      </c>
      <c r="I97" s="279">
        <v>601273</v>
      </c>
      <c r="J97" s="279">
        <v>99297</v>
      </c>
      <c r="K97" s="279">
        <f t="shared" si="10"/>
        <v>848555</v>
      </c>
      <c r="L97" s="280">
        <v>8.1000000000000003E-2</v>
      </c>
      <c r="M97" s="280">
        <v>0.19700000000000001</v>
      </c>
      <c r="N97" s="281">
        <v>0.16200000000000001</v>
      </c>
      <c r="O97" s="282">
        <f t="shared" si="11"/>
        <v>3020.8140000000003</v>
      </c>
      <c r="P97" s="283">
        <f t="shared" si="12"/>
        <v>16856.100000000002</v>
      </c>
      <c r="Q97" s="275">
        <f t="shared" si="13"/>
        <v>1064.7450000000001</v>
      </c>
      <c r="R97" s="283">
        <f t="shared" si="13"/>
        <v>5129.2890000000007</v>
      </c>
      <c r="S97" s="275">
        <f t="shared" si="14"/>
        <v>6194.0340000000006</v>
      </c>
      <c r="T97" s="283">
        <f t="shared" si="9"/>
        <v>118450.781</v>
      </c>
      <c r="U97" s="283">
        <f t="shared" si="15"/>
        <v>124644.815</v>
      </c>
      <c r="V97" s="283">
        <f t="shared" si="16"/>
        <v>141500.91500000001</v>
      </c>
    </row>
    <row r="98" spans="1:22" ht="24.95" customHeight="1">
      <c r="A98" s="276" t="s">
        <v>64</v>
      </c>
      <c r="B98" s="277" t="s">
        <v>14</v>
      </c>
      <c r="C98" s="278" t="s">
        <v>289</v>
      </c>
      <c r="D98" s="279">
        <v>20368</v>
      </c>
      <c r="E98" s="279">
        <v>513</v>
      </c>
      <c r="F98" s="279">
        <v>3328</v>
      </c>
      <c r="G98" s="279">
        <v>205</v>
      </c>
      <c r="H98" s="279">
        <v>400</v>
      </c>
      <c r="I98" s="279">
        <v>11497</v>
      </c>
      <c r="J98" s="279">
        <v>4425</v>
      </c>
      <c r="K98" s="279">
        <f t="shared" si="10"/>
        <v>15430</v>
      </c>
      <c r="L98" s="280">
        <v>8.8999999999999996E-2</v>
      </c>
      <c r="M98" s="280">
        <v>0.252</v>
      </c>
      <c r="N98" s="281">
        <v>0.20899999999999999</v>
      </c>
      <c r="O98" s="282">
        <f t="shared" si="11"/>
        <v>45.656999999999996</v>
      </c>
      <c r="P98" s="283">
        <f t="shared" si="12"/>
        <v>296.19200000000001</v>
      </c>
      <c r="Q98" s="275">
        <f t="shared" si="13"/>
        <v>18.244999999999997</v>
      </c>
      <c r="R98" s="283">
        <f t="shared" si="13"/>
        <v>100.8</v>
      </c>
      <c r="S98" s="275">
        <f t="shared" si="14"/>
        <v>119.04499999999999</v>
      </c>
      <c r="T98" s="283">
        <f t="shared" si="9"/>
        <v>2897.2440000000001</v>
      </c>
      <c r="U98" s="283">
        <f t="shared" si="15"/>
        <v>3016.2890000000002</v>
      </c>
      <c r="V98" s="283">
        <f t="shared" si="16"/>
        <v>3312.4810000000002</v>
      </c>
    </row>
    <row r="99" spans="1:22" ht="24.95" customHeight="1">
      <c r="A99" s="276" t="s">
        <v>92</v>
      </c>
      <c r="B99" s="277" t="s">
        <v>17</v>
      </c>
      <c r="C99" s="278" t="s">
        <v>289</v>
      </c>
      <c r="D99" s="279">
        <v>12754</v>
      </c>
      <c r="E99" s="279">
        <v>402</v>
      </c>
      <c r="F99" s="279">
        <v>2399</v>
      </c>
      <c r="G99" s="279">
        <v>127</v>
      </c>
      <c r="H99" s="279">
        <v>251</v>
      </c>
      <c r="I99" s="279">
        <v>6927</v>
      </c>
      <c r="J99" s="279">
        <v>2648</v>
      </c>
      <c r="K99" s="279">
        <f t="shared" si="10"/>
        <v>9704</v>
      </c>
      <c r="L99" s="280">
        <v>8.7999999999999995E-2</v>
      </c>
      <c r="M99" s="280">
        <v>0.221</v>
      </c>
      <c r="N99" s="281">
        <v>0.183</v>
      </c>
      <c r="O99" s="282">
        <f t="shared" si="11"/>
        <v>35.375999999999998</v>
      </c>
      <c r="P99" s="283">
        <f t="shared" si="12"/>
        <v>211.11199999999999</v>
      </c>
      <c r="Q99" s="275">
        <f t="shared" si="13"/>
        <v>11.176</v>
      </c>
      <c r="R99" s="283">
        <f t="shared" si="13"/>
        <v>55.471000000000004</v>
      </c>
      <c r="S99" s="275">
        <f t="shared" si="14"/>
        <v>66.647000000000006</v>
      </c>
      <c r="T99" s="283">
        <f t="shared" si="9"/>
        <v>1530.867</v>
      </c>
      <c r="U99" s="283">
        <f t="shared" si="15"/>
        <v>1597.5139999999999</v>
      </c>
      <c r="V99" s="283">
        <f t="shared" si="16"/>
        <v>1808.626</v>
      </c>
    </row>
    <row r="100" spans="1:22" ht="24.95" customHeight="1">
      <c r="A100" s="276" t="s">
        <v>143</v>
      </c>
      <c r="B100" s="277" t="s">
        <v>295</v>
      </c>
      <c r="C100" s="278" t="s">
        <v>289</v>
      </c>
      <c r="D100" s="279">
        <v>52959</v>
      </c>
      <c r="E100" s="279">
        <v>1034</v>
      </c>
      <c r="F100" s="279">
        <v>5898</v>
      </c>
      <c r="G100" s="279">
        <v>1752</v>
      </c>
      <c r="H100" s="279">
        <v>6740</v>
      </c>
      <c r="I100" s="279">
        <v>29871</v>
      </c>
      <c r="J100" s="279">
        <v>7664</v>
      </c>
      <c r="K100" s="279">
        <f t="shared" si="10"/>
        <v>44261</v>
      </c>
      <c r="L100" s="280">
        <v>8.1000000000000003E-2</v>
      </c>
      <c r="M100" s="280">
        <v>0.218</v>
      </c>
      <c r="N100" s="281">
        <v>0.186</v>
      </c>
      <c r="O100" s="282">
        <f t="shared" si="11"/>
        <v>83.754000000000005</v>
      </c>
      <c r="P100" s="283">
        <f t="shared" si="12"/>
        <v>477.738</v>
      </c>
      <c r="Q100" s="275">
        <f t="shared" si="13"/>
        <v>141.91200000000001</v>
      </c>
      <c r="R100" s="283">
        <f t="shared" si="13"/>
        <v>1469.32</v>
      </c>
      <c r="S100" s="275">
        <f t="shared" si="14"/>
        <v>1611.232</v>
      </c>
      <c r="T100" s="283">
        <f t="shared" si="9"/>
        <v>6511.8779999999997</v>
      </c>
      <c r="U100" s="283">
        <f t="shared" si="15"/>
        <v>8123.11</v>
      </c>
      <c r="V100" s="283">
        <f t="shared" si="16"/>
        <v>8600.848</v>
      </c>
    </row>
    <row r="101" spans="1:22" ht="24.95" customHeight="1">
      <c r="A101" s="276" t="s">
        <v>103</v>
      </c>
      <c r="B101" s="277" t="s">
        <v>18</v>
      </c>
      <c r="C101" s="278" t="s">
        <v>289</v>
      </c>
      <c r="D101" s="279">
        <v>125656</v>
      </c>
      <c r="E101" s="279">
        <v>5101</v>
      </c>
      <c r="F101" s="279">
        <v>25595</v>
      </c>
      <c r="G101" s="279">
        <v>1567</v>
      </c>
      <c r="H101" s="279">
        <v>3526</v>
      </c>
      <c r="I101" s="279">
        <v>71715</v>
      </c>
      <c r="J101" s="279">
        <v>18152</v>
      </c>
      <c r="K101" s="279">
        <f t="shared" si="10"/>
        <v>102403</v>
      </c>
      <c r="L101" s="280">
        <v>8.7999999999999995E-2</v>
      </c>
      <c r="M101" s="280">
        <v>0.22600000000000001</v>
      </c>
      <c r="N101" s="281">
        <v>0.185</v>
      </c>
      <c r="O101" s="282">
        <f t="shared" si="11"/>
        <v>448.88799999999998</v>
      </c>
      <c r="P101" s="283">
        <f t="shared" si="12"/>
        <v>2252.3599999999997</v>
      </c>
      <c r="Q101" s="275">
        <f t="shared" si="13"/>
        <v>137.89599999999999</v>
      </c>
      <c r="R101" s="283">
        <f t="shared" si="13"/>
        <v>796.87599999999998</v>
      </c>
      <c r="S101" s="275">
        <f t="shared" si="14"/>
        <v>934.77199999999993</v>
      </c>
      <c r="T101" s="283">
        <f t="shared" si="9"/>
        <v>16207.59</v>
      </c>
      <c r="U101" s="283">
        <f t="shared" si="15"/>
        <v>17142.362000000001</v>
      </c>
      <c r="V101" s="283">
        <f t="shared" si="16"/>
        <v>19394.722000000002</v>
      </c>
    </row>
    <row r="102" spans="1:22" ht="24.95" customHeight="1">
      <c r="A102" s="276" t="s">
        <v>144</v>
      </c>
      <c r="B102" s="277" t="s">
        <v>295</v>
      </c>
      <c r="C102" s="278" t="s">
        <v>289</v>
      </c>
      <c r="D102" s="279">
        <v>69817</v>
      </c>
      <c r="E102" s="279">
        <v>2029</v>
      </c>
      <c r="F102" s="279">
        <v>12646</v>
      </c>
      <c r="G102" s="279">
        <v>863</v>
      </c>
      <c r="H102" s="279">
        <v>1638</v>
      </c>
      <c r="I102" s="279">
        <v>39163</v>
      </c>
      <c r="J102" s="279">
        <v>13478</v>
      </c>
      <c r="K102" s="279">
        <f t="shared" si="10"/>
        <v>54310</v>
      </c>
      <c r="L102" s="280">
        <v>7.6999999999999999E-2</v>
      </c>
      <c r="M102" s="280">
        <v>0.192</v>
      </c>
      <c r="N102" s="281">
        <v>0.16</v>
      </c>
      <c r="O102" s="282">
        <f t="shared" si="11"/>
        <v>156.233</v>
      </c>
      <c r="P102" s="283">
        <f t="shared" si="12"/>
        <v>973.74199999999996</v>
      </c>
      <c r="Q102" s="275">
        <f t="shared" si="13"/>
        <v>66.450999999999993</v>
      </c>
      <c r="R102" s="283">
        <f t="shared" si="13"/>
        <v>314.49599999999998</v>
      </c>
      <c r="S102" s="275">
        <f t="shared" si="14"/>
        <v>380.947</v>
      </c>
      <c r="T102" s="283">
        <f t="shared" si="9"/>
        <v>7519.2960000000003</v>
      </c>
      <c r="U102" s="283">
        <f t="shared" si="15"/>
        <v>7900.2430000000004</v>
      </c>
      <c r="V102" s="283">
        <f t="shared" si="16"/>
        <v>8873.9850000000006</v>
      </c>
    </row>
    <row r="103" spans="1:22" ht="24.95" customHeight="1">
      <c r="A103" s="276" t="s">
        <v>104</v>
      </c>
      <c r="B103" s="277" t="s">
        <v>18</v>
      </c>
      <c r="C103" s="278" t="s">
        <v>289</v>
      </c>
      <c r="D103" s="279">
        <v>82175</v>
      </c>
      <c r="E103" s="279">
        <v>2798</v>
      </c>
      <c r="F103" s="279">
        <v>16605</v>
      </c>
      <c r="G103" s="279">
        <v>1023</v>
      </c>
      <c r="H103" s="279">
        <v>2032</v>
      </c>
      <c r="I103" s="279">
        <v>46595</v>
      </c>
      <c r="J103" s="279">
        <v>13122</v>
      </c>
      <c r="K103" s="279">
        <f t="shared" si="10"/>
        <v>66255</v>
      </c>
      <c r="L103" s="280">
        <v>0.09</v>
      </c>
      <c r="M103" s="280">
        <v>0.221</v>
      </c>
      <c r="N103" s="281">
        <v>0.18099999999999999</v>
      </c>
      <c r="O103" s="282">
        <f t="shared" si="11"/>
        <v>251.82</v>
      </c>
      <c r="P103" s="283">
        <f t="shared" si="12"/>
        <v>1494.45</v>
      </c>
      <c r="Q103" s="275">
        <f t="shared" si="13"/>
        <v>92.07</v>
      </c>
      <c r="R103" s="283">
        <f t="shared" si="13"/>
        <v>449.072</v>
      </c>
      <c r="S103" s="275">
        <f t="shared" si="14"/>
        <v>541.14200000000005</v>
      </c>
      <c r="T103" s="283">
        <f t="shared" si="9"/>
        <v>10297.495000000001</v>
      </c>
      <c r="U103" s="283">
        <f t="shared" si="15"/>
        <v>10838.637000000001</v>
      </c>
      <c r="V103" s="283">
        <f t="shared" si="16"/>
        <v>12333.087000000001</v>
      </c>
    </row>
    <row r="104" spans="1:22" ht="24.95" customHeight="1">
      <c r="A104" s="276" t="s">
        <v>113</v>
      </c>
      <c r="B104" s="277" t="s">
        <v>20</v>
      </c>
      <c r="C104" s="278" t="s">
        <v>289</v>
      </c>
      <c r="D104" s="279">
        <v>38023</v>
      </c>
      <c r="E104" s="279">
        <v>1220</v>
      </c>
      <c r="F104" s="279">
        <v>7097</v>
      </c>
      <c r="G104" s="279">
        <v>473</v>
      </c>
      <c r="H104" s="279">
        <v>969</v>
      </c>
      <c r="I104" s="279">
        <v>21410</v>
      </c>
      <c r="J104" s="279">
        <v>6854</v>
      </c>
      <c r="K104" s="279">
        <f t="shared" si="10"/>
        <v>29949</v>
      </c>
      <c r="L104" s="280">
        <v>8.3000000000000004E-2</v>
      </c>
      <c r="M104" s="280">
        <v>0.20899999999999999</v>
      </c>
      <c r="N104" s="281">
        <v>0.17299999999999999</v>
      </c>
      <c r="O104" s="282">
        <f t="shared" si="11"/>
        <v>101.26</v>
      </c>
      <c r="P104" s="283">
        <f t="shared" si="12"/>
        <v>589.05100000000004</v>
      </c>
      <c r="Q104" s="275">
        <f t="shared" si="13"/>
        <v>39.259</v>
      </c>
      <c r="R104" s="283">
        <f t="shared" si="13"/>
        <v>202.52099999999999</v>
      </c>
      <c r="S104" s="275">
        <f t="shared" si="14"/>
        <v>241.77999999999997</v>
      </c>
      <c r="T104" s="283">
        <f t="shared" si="9"/>
        <v>4474.6899999999996</v>
      </c>
      <c r="U104" s="283">
        <f t="shared" si="15"/>
        <v>4716.4699999999993</v>
      </c>
      <c r="V104" s="283">
        <f t="shared" si="16"/>
        <v>5305.5209999999997</v>
      </c>
    </row>
    <row r="105" spans="1:22" ht="24.95" customHeight="1">
      <c r="A105" s="276" t="s">
        <v>145</v>
      </c>
      <c r="B105" s="277" t="s">
        <v>295</v>
      </c>
      <c r="C105" s="278" t="s">
        <v>289</v>
      </c>
      <c r="D105" s="279">
        <v>17940</v>
      </c>
      <c r="E105" s="279">
        <v>505</v>
      </c>
      <c r="F105" s="279">
        <v>2876</v>
      </c>
      <c r="G105" s="279">
        <v>196</v>
      </c>
      <c r="H105" s="279">
        <v>362</v>
      </c>
      <c r="I105" s="279">
        <v>9886</v>
      </c>
      <c r="J105" s="279">
        <v>4115</v>
      </c>
      <c r="K105" s="279">
        <f t="shared" si="10"/>
        <v>13320</v>
      </c>
      <c r="L105" s="287">
        <v>7.9000000000000001E-2</v>
      </c>
      <c r="M105" s="287">
        <v>0.19900000000000001</v>
      </c>
      <c r="N105" s="288">
        <v>0.16800000000000001</v>
      </c>
      <c r="O105" s="282">
        <f t="shared" si="11"/>
        <v>39.895000000000003</v>
      </c>
      <c r="P105" s="283">
        <f t="shared" si="12"/>
        <v>227.20400000000001</v>
      </c>
      <c r="Q105" s="275">
        <f t="shared" si="13"/>
        <v>15.484</v>
      </c>
      <c r="R105" s="283">
        <f t="shared" si="13"/>
        <v>72.037999999999997</v>
      </c>
      <c r="S105" s="275">
        <f t="shared" si="14"/>
        <v>87.521999999999991</v>
      </c>
      <c r="T105" s="283">
        <f t="shared" si="9"/>
        <v>1967.3140000000001</v>
      </c>
      <c r="U105" s="283">
        <f t="shared" si="15"/>
        <v>2054.8360000000002</v>
      </c>
      <c r="V105" s="283">
        <f t="shared" si="16"/>
        <v>2282.0400000000004</v>
      </c>
    </row>
    <row r="106" spans="1:22" ht="20.100000000000001" customHeight="1">
      <c r="D106" s="290"/>
      <c r="E106" s="290"/>
      <c r="F106" s="290"/>
      <c r="G106" s="290"/>
      <c r="H106" s="290"/>
      <c r="I106" s="290"/>
      <c r="J106" s="291"/>
      <c r="K106" s="291"/>
      <c r="L106" s="292" t="s">
        <v>290</v>
      </c>
      <c r="M106" s="293"/>
      <c r="N106" s="294"/>
      <c r="O106" s="295"/>
      <c r="P106" s="295"/>
      <c r="Q106" s="295"/>
      <c r="R106" s="295"/>
      <c r="S106" s="295"/>
      <c r="T106" s="295"/>
      <c r="U106" s="295"/>
      <c r="V106" s="290"/>
    </row>
    <row r="107" spans="1:22" ht="24.95" customHeight="1">
      <c r="A107" s="296" t="s">
        <v>291</v>
      </c>
      <c r="B107" s="306" t="str">
        <f>A107</f>
        <v>North Carolina</v>
      </c>
      <c r="C107" s="270"/>
      <c r="D107" s="297">
        <f>SUBTOTAL(9,D6:D105)</f>
        <v>9956488</v>
      </c>
      <c r="E107" s="297">
        <f t="shared" ref="E107:K107" si="17">SUBTOTAL(9,E6:E105)</f>
        <v>356415</v>
      </c>
      <c r="F107" s="297">
        <f t="shared" si="17"/>
        <v>1935458</v>
      </c>
      <c r="G107" s="297">
        <f t="shared" si="17"/>
        <v>136224</v>
      </c>
      <c r="H107" s="297">
        <f t="shared" si="17"/>
        <v>295641</v>
      </c>
      <c r="I107" s="297">
        <f t="shared" si="17"/>
        <v>5776812</v>
      </c>
      <c r="J107" s="297">
        <f t="shared" si="17"/>
        <v>1455938</v>
      </c>
      <c r="K107" s="297">
        <f t="shared" si="17"/>
        <v>8144135</v>
      </c>
      <c r="L107" s="298">
        <f>214000/2304514</f>
        <v>9.2861228007293517E-2</v>
      </c>
      <c r="M107" s="299">
        <f>1341000/5997347</f>
        <v>0.22359886796611902</v>
      </c>
      <c r="N107" s="300">
        <f>1562000/8301861</f>
        <v>0.188150584549657</v>
      </c>
      <c r="O107" s="297">
        <f t="shared" ref="O107:V107" si="18">SUBTOTAL(9,O6:O105)</f>
        <v>29817.624999999996</v>
      </c>
      <c r="P107" s="297">
        <f t="shared" si="18"/>
        <v>161478.51499999998</v>
      </c>
      <c r="Q107" s="297">
        <f t="shared" si="18"/>
        <v>11354.073999999999</v>
      </c>
      <c r="R107" s="297">
        <f t="shared" si="18"/>
        <v>62143.639999999985</v>
      </c>
      <c r="S107" s="297">
        <f t="shared" si="18"/>
        <v>73497.714000000036</v>
      </c>
      <c r="T107" s="297">
        <f t="shared" si="18"/>
        <v>1207115.3490000002</v>
      </c>
      <c r="U107" s="297">
        <f t="shared" si="18"/>
        <v>1280613.0630000003</v>
      </c>
      <c r="V107" s="297">
        <f t="shared" si="18"/>
        <v>1442091.578</v>
      </c>
    </row>
    <row r="108" spans="1:22">
      <c r="O108" s="301">
        <f>O107/E107</f>
        <v>8.3659848771796913E-2</v>
      </c>
      <c r="P108" s="301">
        <f>P107/F107</f>
        <v>8.3431681286806531E-2</v>
      </c>
      <c r="Q108" s="301">
        <f>Q107/G107</f>
        <v>8.3348558256988475E-2</v>
      </c>
      <c r="R108" s="301">
        <f>R107/H107</f>
        <v>0.21019966784038743</v>
      </c>
      <c r="S108" s="301">
        <f>S107/SUM(G107:H107)</f>
        <v>0.17018678059115705</v>
      </c>
      <c r="T108" s="301">
        <f>T107/I107</f>
        <v>0.20895873866070078</v>
      </c>
      <c r="U108" s="301">
        <f>U107/SUM(G107:I107)</f>
        <v>0.20626182727817863</v>
      </c>
      <c r="V108" s="301">
        <f>V107/K107</f>
        <v>0.17707117797040448</v>
      </c>
    </row>
    <row r="109" spans="1:22" ht="20.100000000000001" customHeight="1">
      <c r="B109" s="246" t="s">
        <v>459</v>
      </c>
    </row>
    <row r="110" spans="1:22" ht="20.100000000000001" customHeight="1">
      <c r="B110" s="246" t="s">
        <v>293</v>
      </c>
    </row>
    <row r="111" spans="1:22" ht="45.75" customHeight="1">
      <c r="B111" s="524" t="s">
        <v>294</v>
      </c>
      <c r="C111" s="524"/>
      <c r="D111" s="524"/>
      <c r="E111" s="524"/>
      <c r="F111" s="524"/>
      <c r="G111" s="524"/>
      <c r="H111" s="524"/>
      <c r="I111" s="524"/>
      <c r="J111" s="524"/>
      <c r="K111" s="524"/>
      <c r="L111" s="524"/>
      <c r="M111" s="524"/>
      <c r="N111" s="524"/>
      <c r="O111" s="524"/>
      <c r="P111" s="524"/>
      <c r="Q111" s="524"/>
      <c r="R111" s="524"/>
      <c r="S111" s="524"/>
      <c r="T111" s="524"/>
      <c r="U111" s="524"/>
      <c r="V111" s="524"/>
    </row>
  </sheetData>
  <sheetProtection sheet="1" objects="1" scenarios="1" autoFilter="0"/>
  <autoFilter ref="A5:V111"/>
  <mergeCells count="1">
    <mergeCell ref="B111:V111"/>
  </mergeCells>
  <printOptions horizontalCentered="1"/>
  <pageMargins left="0.3" right="0.3" top="0.5" bottom="0.5" header="0.3" footer="0.3"/>
  <pageSetup paperSize="5" scale="52" fitToWidth="2" fitToHeight="0" orientation="landscape" r:id="rId1"/>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8"/>
  <sheetViews>
    <sheetView showGridLines="0" workbookViewId="0">
      <pane ySplit="5" topLeftCell="A6" activePane="bottomLeft" state="frozen"/>
      <selection activeCell="B6" sqref="B6"/>
      <selection pane="bottomLeft" activeCell="B1" sqref="B1"/>
    </sheetView>
  </sheetViews>
  <sheetFormatPr defaultRowHeight="12.75"/>
  <cols>
    <col min="1" max="1" width="9.140625" style="22"/>
    <col min="2" max="2" width="42.140625" style="22" bestFit="1" customWidth="1"/>
    <col min="3" max="3" width="18.7109375" style="45" customWidth="1"/>
    <col min="4" max="5" width="18.7109375" style="22" customWidth="1"/>
    <col min="6" max="6" width="20.7109375" style="22" customWidth="1"/>
    <col min="7" max="16384" width="9.140625" style="22"/>
  </cols>
  <sheetData>
    <row r="1" spans="2:6">
      <c r="B1" s="50" t="s">
        <v>552</v>
      </c>
      <c r="C1" s="44"/>
      <c r="D1" s="44"/>
      <c r="E1" s="44"/>
      <c r="F1" s="44"/>
    </row>
    <row r="2" spans="2:6">
      <c r="B2" s="50" t="s">
        <v>460</v>
      </c>
      <c r="C2" s="44"/>
      <c r="D2" s="44"/>
      <c r="E2" s="44"/>
      <c r="F2" s="44"/>
    </row>
    <row r="3" spans="2:6">
      <c r="B3" s="394" t="s">
        <v>461</v>
      </c>
      <c r="C3" s="44"/>
      <c r="D3" s="44"/>
      <c r="E3" s="44"/>
      <c r="F3" s="44"/>
    </row>
    <row r="5" spans="2:6" ht="38.25">
      <c r="B5" s="390" t="s">
        <v>306</v>
      </c>
      <c r="C5" s="391" t="s">
        <v>302</v>
      </c>
      <c r="D5" s="391" t="s">
        <v>303</v>
      </c>
      <c r="E5" s="391" t="s">
        <v>304</v>
      </c>
      <c r="F5" s="391" t="s">
        <v>305</v>
      </c>
    </row>
    <row r="6" spans="2:6">
      <c r="B6" s="309" t="s">
        <v>13</v>
      </c>
      <c r="C6" s="310">
        <v>31517.760000000002</v>
      </c>
      <c r="D6" s="310">
        <v>12885.650000000001</v>
      </c>
      <c r="E6" s="310">
        <v>225019.03200000001</v>
      </c>
      <c r="F6" s="310">
        <v>269422.44200000004</v>
      </c>
    </row>
    <row r="7" spans="2:6">
      <c r="B7" s="307" t="s">
        <v>46</v>
      </c>
      <c r="C7" s="308">
        <v>6263.6379999999999</v>
      </c>
      <c r="D7" s="308">
        <v>2959.7060000000001</v>
      </c>
      <c r="E7" s="308">
        <v>44017.908000000003</v>
      </c>
      <c r="F7" s="308">
        <v>53241.252</v>
      </c>
    </row>
    <row r="8" spans="2:6">
      <c r="B8" s="307" t="s">
        <v>47</v>
      </c>
      <c r="C8" s="308">
        <v>4937.8419999999996</v>
      </c>
      <c r="D8" s="308">
        <v>2497.09</v>
      </c>
      <c r="E8" s="308">
        <v>38307.625</v>
      </c>
      <c r="F8" s="308">
        <v>45742.556999999993</v>
      </c>
    </row>
    <row r="9" spans="2:6">
      <c r="B9" s="307" t="s">
        <v>48</v>
      </c>
      <c r="C9" s="308">
        <v>3460.1800000000003</v>
      </c>
      <c r="D9" s="308">
        <v>1234.8200000000002</v>
      </c>
      <c r="E9" s="308">
        <v>24242.718000000001</v>
      </c>
      <c r="F9" s="308">
        <v>28937.718000000001</v>
      </c>
    </row>
    <row r="10" spans="2:6">
      <c r="B10" s="307" t="s">
        <v>49</v>
      </c>
      <c r="C10" s="308">
        <v>16856.100000000002</v>
      </c>
      <c r="D10" s="308">
        <v>6194.0340000000006</v>
      </c>
      <c r="E10" s="308">
        <v>118450.781</v>
      </c>
      <c r="F10" s="308">
        <v>141500.91500000001</v>
      </c>
    </row>
    <row r="11" spans="2:6">
      <c r="B11" s="307"/>
      <c r="C11" s="308"/>
      <c r="D11" s="308"/>
      <c r="E11" s="308"/>
      <c r="F11" s="308"/>
    </row>
    <row r="12" spans="2:6">
      <c r="B12" s="309" t="s">
        <v>14</v>
      </c>
      <c r="C12" s="310">
        <v>41242.813999999998</v>
      </c>
      <c r="D12" s="310">
        <v>17150.629999999997</v>
      </c>
      <c r="E12" s="310">
        <v>306869.26199999999</v>
      </c>
      <c r="F12" s="310">
        <v>365262.70599999995</v>
      </c>
    </row>
    <row r="13" spans="2:6">
      <c r="B13" s="307" t="s">
        <v>50</v>
      </c>
      <c r="C13" s="308">
        <v>2619.848</v>
      </c>
      <c r="D13" s="308">
        <v>1358.056</v>
      </c>
      <c r="E13" s="308">
        <v>18531.638999999999</v>
      </c>
      <c r="F13" s="308">
        <v>22509.542999999998</v>
      </c>
    </row>
    <row r="14" spans="2:6">
      <c r="B14" s="307" t="s">
        <v>51</v>
      </c>
      <c r="C14" s="308">
        <v>3392.5230000000001</v>
      </c>
      <c r="D14" s="308">
        <v>1243.114</v>
      </c>
      <c r="E14" s="308">
        <v>22903.056</v>
      </c>
      <c r="F14" s="308">
        <v>27538.693000000003</v>
      </c>
    </row>
    <row r="15" spans="2:6">
      <c r="B15" s="307" t="s">
        <v>52</v>
      </c>
      <c r="C15" s="308">
        <v>313.47000000000003</v>
      </c>
      <c r="D15" s="308">
        <v>139.42099999999999</v>
      </c>
      <c r="E15" s="308">
        <v>3272.5920000000001</v>
      </c>
      <c r="F15" s="308">
        <v>3725.4830000000002</v>
      </c>
    </row>
    <row r="16" spans="2:6">
      <c r="B16" s="307" t="s">
        <v>53</v>
      </c>
      <c r="C16" s="308">
        <v>1070.5809999999999</v>
      </c>
      <c r="D16" s="308">
        <v>366.11899999999997</v>
      </c>
      <c r="E16" s="308">
        <v>8474.85</v>
      </c>
      <c r="F16" s="308">
        <v>9911.5500000000011</v>
      </c>
    </row>
    <row r="17" spans="2:6">
      <c r="B17" s="307" t="s">
        <v>54</v>
      </c>
      <c r="C17" s="308">
        <v>2479.0740000000001</v>
      </c>
      <c r="D17" s="308">
        <v>950.96199999999999</v>
      </c>
      <c r="E17" s="308">
        <v>19379.059999999998</v>
      </c>
      <c r="F17" s="308">
        <v>22809.095999999998</v>
      </c>
    </row>
    <row r="18" spans="2:6">
      <c r="B18" s="307" t="s">
        <v>55</v>
      </c>
      <c r="C18" s="308">
        <v>1059.912</v>
      </c>
      <c r="D18" s="308">
        <v>431.00400000000002</v>
      </c>
      <c r="E18" s="308">
        <v>8498.5</v>
      </c>
      <c r="F18" s="308">
        <v>9989.4160000000011</v>
      </c>
    </row>
    <row r="19" spans="2:6">
      <c r="B19" s="307" t="s">
        <v>56</v>
      </c>
      <c r="C19" s="308">
        <v>868.89600000000007</v>
      </c>
      <c r="D19" s="308">
        <v>448.92799999999994</v>
      </c>
      <c r="E19" s="308">
        <v>7148.5549999999994</v>
      </c>
      <c r="F19" s="308">
        <v>8466.378999999999</v>
      </c>
    </row>
    <row r="20" spans="2:6">
      <c r="B20" s="307" t="s">
        <v>57</v>
      </c>
      <c r="C20" s="308">
        <v>856.47399999999993</v>
      </c>
      <c r="D20" s="308">
        <v>361.03800000000001</v>
      </c>
      <c r="E20" s="308">
        <v>6948.3</v>
      </c>
      <c r="F20" s="308">
        <v>8165.8119999999999</v>
      </c>
    </row>
    <row r="21" spans="2:6">
      <c r="B21" s="307" t="s">
        <v>105</v>
      </c>
      <c r="C21" s="308">
        <v>17824.821</v>
      </c>
      <c r="D21" s="308">
        <v>6348.6790000000001</v>
      </c>
      <c r="E21" s="308">
        <v>132571.44399999999</v>
      </c>
      <c r="F21" s="308">
        <v>156744.94399999999</v>
      </c>
    </row>
    <row r="22" spans="2:6">
      <c r="B22" s="307" t="s">
        <v>58</v>
      </c>
      <c r="C22" s="308">
        <v>1991.78</v>
      </c>
      <c r="D22" s="308">
        <v>2021.9960000000001</v>
      </c>
      <c r="E22" s="308">
        <v>16554.72</v>
      </c>
      <c r="F22" s="308">
        <v>20568.495999999999</v>
      </c>
    </row>
    <row r="23" spans="2:6">
      <c r="B23" s="307" t="s">
        <v>59</v>
      </c>
      <c r="C23" s="308">
        <v>574.48800000000006</v>
      </c>
      <c r="D23" s="308">
        <v>211.74799999999999</v>
      </c>
      <c r="E23" s="308">
        <v>4696.0019999999995</v>
      </c>
      <c r="F23" s="308">
        <v>5482.2379999999994</v>
      </c>
    </row>
    <row r="24" spans="2:6">
      <c r="B24" s="307" t="s">
        <v>60</v>
      </c>
      <c r="C24" s="308">
        <v>2218.4279999999999</v>
      </c>
      <c r="D24" s="308">
        <v>952.31799999999998</v>
      </c>
      <c r="E24" s="308">
        <v>16578.016</v>
      </c>
      <c r="F24" s="308">
        <v>19748.761999999999</v>
      </c>
    </row>
    <row r="25" spans="2:6">
      <c r="B25" s="307" t="s">
        <v>61</v>
      </c>
      <c r="C25" s="308">
        <v>834</v>
      </c>
      <c r="D25" s="308">
        <v>366.423</v>
      </c>
      <c r="E25" s="308">
        <v>6544.5029999999997</v>
      </c>
      <c r="F25" s="308">
        <v>7744.9259999999995</v>
      </c>
    </row>
    <row r="26" spans="2:6">
      <c r="B26" s="307" t="s">
        <v>62</v>
      </c>
      <c r="C26" s="308">
        <v>4006.31</v>
      </c>
      <c r="D26" s="308">
        <v>1488.962</v>
      </c>
      <c r="E26" s="308">
        <v>26062.893</v>
      </c>
      <c r="F26" s="308">
        <v>31558.165000000001</v>
      </c>
    </row>
    <row r="27" spans="2:6">
      <c r="B27" s="307" t="s">
        <v>63</v>
      </c>
      <c r="C27" s="308">
        <v>836.01699999999994</v>
      </c>
      <c r="D27" s="308">
        <v>342.81700000000001</v>
      </c>
      <c r="E27" s="308">
        <v>5807.8879999999999</v>
      </c>
      <c r="F27" s="308">
        <v>6986.7219999999998</v>
      </c>
    </row>
    <row r="28" spans="2:6">
      <c r="B28" s="307" t="s">
        <v>64</v>
      </c>
      <c r="C28" s="308">
        <v>296.19200000000001</v>
      </c>
      <c r="D28" s="308">
        <v>119.04499999999999</v>
      </c>
      <c r="E28" s="308">
        <v>2897.2440000000001</v>
      </c>
      <c r="F28" s="308">
        <v>3312.4810000000002</v>
      </c>
    </row>
    <row r="29" spans="2:6">
      <c r="B29" s="307"/>
      <c r="C29" s="308"/>
      <c r="D29" s="308"/>
      <c r="E29" s="308"/>
      <c r="F29" s="308"/>
    </row>
    <row r="30" spans="2:6">
      <c r="B30" s="309" t="s">
        <v>15</v>
      </c>
      <c r="C30" s="310">
        <v>8953.1899999999987</v>
      </c>
      <c r="D30" s="310">
        <v>3464.8820000000005</v>
      </c>
      <c r="E30" s="310">
        <v>63303.673000000003</v>
      </c>
      <c r="F30" s="310">
        <v>75721.74500000001</v>
      </c>
    </row>
    <row r="31" spans="2:6">
      <c r="B31" s="307" t="s">
        <v>65</v>
      </c>
      <c r="C31" s="308">
        <v>588.24</v>
      </c>
      <c r="D31" s="308">
        <v>232.72800000000001</v>
      </c>
      <c r="E31" s="308">
        <v>4635.7740000000003</v>
      </c>
      <c r="F31" s="308">
        <v>5456.7420000000002</v>
      </c>
    </row>
    <row r="32" spans="2:6">
      <c r="B32" s="307" t="s">
        <v>66</v>
      </c>
      <c r="C32" s="308">
        <v>6476.9749999999995</v>
      </c>
      <c r="D32" s="308">
        <v>2451.46</v>
      </c>
      <c r="E32" s="308">
        <v>42561.792000000001</v>
      </c>
      <c r="F32" s="308">
        <v>51490.226999999999</v>
      </c>
    </row>
    <row r="33" spans="2:6">
      <c r="B33" s="307" t="s">
        <v>67</v>
      </c>
      <c r="C33" s="308">
        <v>1315.3600000000001</v>
      </c>
      <c r="D33" s="308">
        <v>540.68400000000008</v>
      </c>
      <c r="E33" s="308">
        <v>10671.507000000001</v>
      </c>
      <c r="F33" s="308">
        <v>12527.551000000001</v>
      </c>
    </row>
    <row r="34" spans="2:6">
      <c r="B34" s="307" t="s">
        <v>68</v>
      </c>
      <c r="C34" s="308">
        <v>572.6149999999999</v>
      </c>
      <c r="D34" s="308">
        <v>240.01</v>
      </c>
      <c r="E34" s="308">
        <v>5434.6</v>
      </c>
      <c r="F34" s="308">
        <v>6247.2250000000004</v>
      </c>
    </row>
    <row r="35" spans="2:6">
      <c r="B35" s="307"/>
      <c r="C35" s="308"/>
      <c r="D35" s="308"/>
      <c r="E35" s="308"/>
      <c r="F35" s="308"/>
    </row>
    <row r="36" spans="2:6">
      <c r="B36" s="309" t="s">
        <v>16</v>
      </c>
      <c r="C36" s="310">
        <v>9130.81</v>
      </c>
      <c r="D36" s="310">
        <v>6151.1090000000004</v>
      </c>
      <c r="E36" s="310">
        <v>80198.457999999999</v>
      </c>
      <c r="F36" s="310">
        <v>95480.376999999993</v>
      </c>
    </row>
    <row r="37" spans="2:6">
      <c r="B37" s="307" t="s">
        <v>69</v>
      </c>
      <c r="C37" s="308">
        <v>1404.546</v>
      </c>
      <c r="D37" s="308">
        <v>479.666</v>
      </c>
      <c r="E37" s="308">
        <v>12601.6</v>
      </c>
      <c r="F37" s="308">
        <v>14485.812</v>
      </c>
    </row>
    <row r="38" spans="2:6">
      <c r="B38" s="307" t="s">
        <v>70</v>
      </c>
      <c r="C38" s="308">
        <v>791.94799999999998</v>
      </c>
      <c r="D38" s="308">
        <v>331.84200000000004</v>
      </c>
      <c r="E38" s="308">
        <v>7521.88</v>
      </c>
      <c r="F38" s="308">
        <v>8645.67</v>
      </c>
    </row>
    <row r="39" spans="2:6">
      <c r="B39" s="307" t="s">
        <v>71</v>
      </c>
      <c r="C39" s="308">
        <v>2762.1559999999999</v>
      </c>
      <c r="D39" s="308">
        <v>1937.2810000000002</v>
      </c>
      <c r="E39" s="308">
        <v>26048</v>
      </c>
      <c r="F39" s="308">
        <v>30747.436999999998</v>
      </c>
    </row>
    <row r="40" spans="2:6">
      <c r="B40" s="307" t="s">
        <v>72</v>
      </c>
      <c r="C40" s="308">
        <v>3350.08</v>
      </c>
      <c r="D40" s="308">
        <v>3054.7200000000003</v>
      </c>
      <c r="E40" s="308">
        <v>26727.84</v>
      </c>
      <c r="F40" s="308">
        <v>33132.639999999999</v>
      </c>
    </row>
    <row r="41" spans="2:6">
      <c r="B41" s="307" t="s">
        <v>73</v>
      </c>
      <c r="C41" s="308">
        <v>822.08</v>
      </c>
      <c r="D41" s="308">
        <v>347.6</v>
      </c>
      <c r="E41" s="308">
        <v>7299.1379999999999</v>
      </c>
      <c r="F41" s="308">
        <v>8468.8180000000011</v>
      </c>
    </row>
    <row r="42" spans="2:6">
      <c r="B42" s="307"/>
      <c r="C42" s="308"/>
      <c r="D42" s="308"/>
      <c r="E42" s="308"/>
      <c r="F42" s="308"/>
    </row>
    <row r="43" spans="2:6">
      <c r="B43" s="309" t="s">
        <v>17</v>
      </c>
      <c r="C43" s="310">
        <v>9212.7579999999998</v>
      </c>
      <c r="D43" s="310">
        <v>5586.7869999999994</v>
      </c>
      <c r="E43" s="310">
        <v>73946.563000000024</v>
      </c>
      <c r="F43" s="310">
        <v>88746.108000000007</v>
      </c>
    </row>
    <row r="44" spans="2:6">
      <c r="B44" s="307" t="s">
        <v>74</v>
      </c>
      <c r="C44" s="308">
        <v>736.44</v>
      </c>
      <c r="D44" s="308">
        <v>246.375</v>
      </c>
      <c r="E44" s="308">
        <v>5237.4000000000005</v>
      </c>
      <c r="F44" s="308">
        <v>6220.2150000000001</v>
      </c>
    </row>
    <row r="45" spans="2:6">
      <c r="B45" s="307" t="s">
        <v>75</v>
      </c>
      <c r="C45" s="308">
        <v>301.19399999999996</v>
      </c>
      <c r="D45" s="308">
        <v>140.11099999999999</v>
      </c>
      <c r="E45" s="308">
        <v>2991.3760000000002</v>
      </c>
      <c r="F45" s="308">
        <v>3432.681</v>
      </c>
    </row>
    <row r="46" spans="2:6">
      <c r="B46" s="307" t="s">
        <v>76</v>
      </c>
      <c r="C46" s="308">
        <v>134.02800000000002</v>
      </c>
      <c r="D46" s="308">
        <v>58.564999999999998</v>
      </c>
      <c r="E46" s="308">
        <v>1163.5650000000001</v>
      </c>
      <c r="F46" s="308">
        <v>1356.1580000000001</v>
      </c>
    </row>
    <row r="47" spans="2:6">
      <c r="B47" s="307" t="s">
        <v>77</v>
      </c>
      <c r="C47" s="308">
        <v>219.84200000000001</v>
      </c>
      <c r="D47" s="308">
        <v>83.805999999999983</v>
      </c>
      <c r="E47" s="308">
        <v>1632.55</v>
      </c>
      <c r="F47" s="308">
        <v>1936.1980000000001</v>
      </c>
    </row>
    <row r="48" spans="2:6">
      <c r="B48" s="307" t="s">
        <v>78</v>
      </c>
      <c r="C48" s="308">
        <v>1678.48</v>
      </c>
      <c r="D48" s="308">
        <v>807.01199999999994</v>
      </c>
      <c r="E48" s="308">
        <v>11458.854000000001</v>
      </c>
      <c r="F48" s="308">
        <v>13944.346000000001</v>
      </c>
    </row>
    <row r="49" spans="2:6">
      <c r="B49" s="307" t="s">
        <v>79</v>
      </c>
      <c r="C49" s="308">
        <v>313.18</v>
      </c>
      <c r="D49" s="308">
        <v>143.32</v>
      </c>
      <c r="E49" s="308">
        <v>2864.07</v>
      </c>
      <c r="F49" s="308">
        <v>3320.57</v>
      </c>
    </row>
    <row r="50" spans="2:6">
      <c r="B50" s="307" t="s">
        <v>80</v>
      </c>
      <c r="C50" s="308">
        <v>448.18799999999999</v>
      </c>
      <c r="D50" s="308">
        <v>131.82</v>
      </c>
      <c r="E50" s="308">
        <v>3858.0360000000001</v>
      </c>
      <c r="F50" s="308">
        <v>4438.0439999999999</v>
      </c>
    </row>
    <row r="51" spans="2:6">
      <c r="B51" s="307" t="s">
        <v>81</v>
      </c>
      <c r="C51" s="308">
        <v>151.30500000000001</v>
      </c>
      <c r="D51" s="308">
        <v>94.388000000000005</v>
      </c>
      <c r="E51" s="308">
        <v>1484.0520000000001</v>
      </c>
      <c r="F51" s="308">
        <v>1729.7450000000001</v>
      </c>
    </row>
    <row r="52" spans="2:6">
      <c r="B52" s="307" t="s">
        <v>82</v>
      </c>
      <c r="C52" s="308">
        <v>374.245</v>
      </c>
      <c r="D52" s="308">
        <v>233.67099999999999</v>
      </c>
      <c r="E52" s="308">
        <v>3184.81</v>
      </c>
      <c r="F52" s="308">
        <v>3792.7259999999997</v>
      </c>
    </row>
    <row r="53" spans="2:6">
      <c r="B53" s="307" t="s">
        <v>83</v>
      </c>
      <c r="C53" s="308">
        <v>73.185000000000002</v>
      </c>
      <c r="D53" s="308">
        <v>35.962000000000003</v>
      </c>
      <c r="E53" s="308">
        <v>895.43999999999994</v>
      </c>
      <c r="F53" s="308">
        <v>1004.587</v>
      </c>
    </row>
    <row r="54" spans="2:6">
      <c r="B54" s="307" t="s">
        <v>84</v>
      </c>
      <c r="C54" s="308">
        <v>155.791</v>
      </c>
      <c r="D54" s="308">
        <v>51.95</v>
      </c>
      <c r="E54" s="308">
        <v>1379.0250000000001</v>
      </c>
      <c r="F54" s="308">
        <v>1586.7660000000001</v>
      </c>
    </row>
    <row r="55" spans="2:6">
      <c r="B55" s="307" t="s">
        <v>85</v>
      </c>
      <c r="C55" s="308">
        <v>359.55</v>
      </c>
      <c r="D55" s="308">
        <v>126.83800000000001</v>
      </c>
      <c r="E55" s="308">
        <v>2775.4939999999997</v>
      </c>
      <c r="F55" s="308">
        <v>3261.8820000000001</v>
      </c>
    </row>
    <row r="56" spans="2:6">
      <c r="B56" s="307" t="s">
        <v>86</v>
      </c>
      <c r="C56" s="308">
        <v>299.88199999999995</v>
      </c>
      <c r="D56" s="308">
        <v>108.16</v>
      </c>
      <c r="E56" s="308">
        <v>2710.5540000000001</v>
      </c>
      <c r="F56" s="308">
        <v>3118.596</v>
      </c>
    </row>
    <row r="57" spans="2:6">
      <c r="B57" s="307" t="s">
        <v>87</v>
      </c>
      <c r="C57" s="308">
        <v>149.38900000000001</v>
      </c>
      <c r="D57" s="308">
        <v>52.902000000000001</v>
      </c>
      <c r="E57" s="308">
        <v>1454.8040000000001</v>
      </c>
      <c r="F57" s="308">
        <v>1657.0950000000003</v>
      </c>
    </row>
    <row r="58" spans="2:6">
      <c r="B58" s="307" t="s">
        <v>88</v>
      </c>
      <c r="C58" s="308">
        <v>616.23</v>
      </c>
      <c r="D58" s="308">
        <v>375.16499999999996</v>
      </c>
      <c r="E58" s="308">
        <v>4664.7879999999996</v>
      </c>
      <c r="F58" s="308">
        <v>5656.1829999999991</v>
      </c>
    </row>
    <row r="59" spans="2:6">
      <c r="B59" s="307" t="s">
        <v>89</v>
      </c>
      <c r="C59" s="308">
        <v>176.02199999999999</v>
      </c>
      <c r="D59" s="308">
        <v>72.465999999999994</v>
      </c>
      <c r="E59" s="308">
        <v>1564.34</v>
      </c>
      <c r="F59" s="308">
        <v>1812.8279999999997</v>
      </c>
    </row>
    <row r="60" spans="2:6">
      <c r="B60" s="307" t="s">
        <v>90</v>
      </c>
      <c r="C60" s="308">
        <v>2759.5250000000001</v>
      </c>
      <c r="D60" s="308">
        <v>2734.7049999999999</v>
      </c>
      <c r="E60" s="308">
        <v>22433.4</v>
      </c>
      <c r="F60" s="308">
        <v>27927.630000000005</v>
      </c>
    </row>
    <row r="61" spans="2:6">
      <c r="B61" s="307" t="s">
        <v>91</v>
      </c>
      <c r="C61" s="308">
        <v>55.169999999999995</v>
      </c>
      <c r="D61" s="308">
        <v>22.923999999999999</v>
      </c>
      <c r="E61" s="308">
        <v>663.13800000000003</v>
      </c>
      <c r="F61" s="308">
        <v>741.23199999999997</v>
      </c>
    </row>
    <row r="62" spans="2:6">
      <c r="B62" s="307" t="s">
        <v>92</v>
      </c>
      <c r="C62" s="308">
        <v>211.11199999999999</v>
      </c>
      <c r="D62" s="308">
        <v>66.647000000000006</v>
      </c>
      <c r="E62" s="308">
        <v>1530.867</v>
      </c>
      <c r="F62" s="308">
        <v>1808.626</v>
      </c>
    </row>
    <row r="63" spans="2:6">
      <c r="B63" s="307"/>
      <c r="C63" s="308"/>
      <c r="D63" s="308"/>
      <c r="E63" s="308"/>
      <c r="F63" s="308"/>
    </row>
    <row r="64" spans="2:6">
      <c r="B64" s="309" t="s">
        <v>18</v>
      </c>
      <c r="C64" s="310">
        <v>15121.454000000002</v>
      </c>
      <c r="D64" s="310">
        <v>6396.3550000000005</v>
      </c>
      <c r="E64" s="310">
        <v>108069.84600000001</v>
      </c>
      <c r="F64" s="310">
        <v>129587.655</v>
      </c>
    </row>
    <row r="65" spans="2:6">
      <c r="B65" s="307" t="s">
        <v>93</v>
      </c>
      <c r="C65" s="308">
        <v>562.78399999999999</v>
      </c>
      <c r="D65" s="308">
        <v>224.15999999999997</v>
      </c>
      <c r="E65" s="308">
        <v>4228.1279999999997</v>
      </c>
      <c r="F65" s="308">
        <v>5015.0719999999992</v>
      </c>
    </row>
    <row r="66" spans="2:6">
      <c r="B66" s="307" t="s">
        <v>94</v>
      </c>
      <c r="C66" s="308">
        <v>922.67500000000007</v>
      </c>
      <c r="D66" s="308">
        <v>398.34100000000001</v>
      </c>
      <c r="E66" s="308">
        <v>7218.33</v>
      </c>
      <c r="F66" s="308">
        <v>8539.3459999999995</v>
      </c>
    </row>
    <row r="67" spans="2:6">
      <c r="B67" s="307" t="s">
        <v>95</v>
      </c>
      <c r="C67" s="308">
        <v>1258.5</v>
      </c>
      <c r="D67" s="308">
        <v>486.74100000000004</v>
      </c>
      <c r="E67" s="308">
        <v>8935.4220000000005</v>
      </c>
      <c r="F67" s="308">
        <v>10680.663</v>
      </c>
    </row>
    <row r="68" spans="2:6">
      <c r="B68" s="307" t="s">
        <v>96</v>
      </c>
      <c r="C68" s="308">
        <v>973.36799999999994</v>
      </c>
      <c r="D68" s="308">
        <v>405.45600000000002</v>
      </c>
      <c r="E68" s="308">
        <v>6928.62</v>
      </c>
      <c r="F68" s="308">
        <v>8307.4439999999995</v>
      </c>
    </row>
    <row r="69" spans="2:6">
      <c r="B69" s="307" t="s">
        <v>97</v>
      </c>
      <c r="C69" s="308">
        <v>396.92400000000004</v>
      </c>
      <c r="D69" s="308">
        <v>142.392</v>
      </c>
      <c r="E69" s="308">
        <v>3412.53</v>
      </c>
      <c r="F69" s="308">
        <v>3951.846</v>
      </c>
    </row>
    <row r="70" spans="2:6">
      <c r="B70" s="307" t="s">
        <v>98</v>
      </c>
      <c r="C70" s="308">
        <v>997.80299999999988</v>
      </c>
      <c r="D70" s="308">
        <v>392.80700000000002</v>
      </c>
      <c r="E70" s="308">
        <v>6866.277</v>
      </c>
      <c r="F70" s="308">
        <v>8256.8869999999988</v>
      </c>
    </row>
    <row r="71" spans="2:6">
      <c r="B71" s="307" t="s">
        <v>99</v>
      </c>
      <c r="C71" s="308">
        <v>1552.8159999999998</v>
      </c>
      <c r="D71" s="308">
        <v>592.26900000000001</v>
      </c>
      <c r="E71" s="308">
        <v>11251.691999999999</v>
      </c>
      <c r="F71" s="308">
        <v>13396.776999999998</v>
      </c>
    </row>
    <row r="72" spans="2:6">
      <c r="B72" s="307" t="s">
        <v>100</v>
      </c>
      <c r="C72" s="308">
        <v>2789.962</v>
      </c>
      <c r="D72" s="308">
        <v>1470.184</v>
      </c>
      <c r="E72" s="308">
        <v>19050.761999999999</v>
      </c>
      <c r="F72" s="308">
        <v>23310.907999999999</v>
      </c>
    </row>
    <row r="73" spans="2:6">
      <c r="B73" s="307" t="s">
        <v>101</v>
      </c>
      <c r="C73" s="308">
        <v>1295.232</v>
      </c>
      <c r="D73" s="308">
        <v>558.60400000000004</v>
      </c>
      <c r="E73" s="308">
        <v>9250.5400000000009</v>
      </c>
      <c r="F73" s="308">
        <v>11104.376</v>
      </c>
    </row>
    <row r="74" spans="2:6">
      <c r="B74" s="307" t="s">
        <v>102</v>
      </c>
      <c r="C74" s="308">
        <v>624.58000000000004</v>
      </c>
      <c r="D74" s="308">
        <v>249.48699999999999</v>
      </c>
      <c r="E74" s="308">
        <v>4422.46</v>
      </c>
      <c r="F74" s="308">
        <v>5296.527</v>
      </c>
    </row>
    <row r="75" spans="2:6">
      <c r="B75" s="307" t="s">
        <v>103</v>
      </c>
      <c r="C75" s="308">
        <v>2252.3599999999997</v>
      </c>
      <c r="D75" s="308">
        <v>934.77199999999993</v>
      </c>
      <c r="E75" s="308">
        <v>16207.59</v>
      </c>
      <c r="F75" s="308">
        <v>19394.722000000002</v>
      </c>
    </row>
    <row r="76" spans="2:6">
      <c r="B76" s="307" t="s">
        <v>104</v>
      </c>
      <c r="C76" s="308">
        <v>1494.45</v>
      </c>
      <c r="D76" s="308">
        <v>541.14200000000005</v>
      </c>
      <c r="E76" s="308">
        <v>10297.495000000001</v>
      </c>
      <c r="F76" s="308">
        <v>12333.087000000001</v>
      </c>
    </row>
    <row r="77" spans="2:6">
      <c r="B77" s="307"/>
      <c r="C77" s="308"/>
      <c r="D77" s="308"/>
      <c r="E77" s="308"/>
      <c r="F77" s="308"/>
    </row>
    <row r="78" spans="2:6">
      <c r="B78" s="309" t="s">
        <v>20</v>
      </c>
      <c r="C78" s="310">
        <v>13931.165999999999</v>
      </c>
      <c r="D78" s="310">
        <v>5842.7629999999999</v>
      </c>
      <c r="E78" s="310">
        <v>101008.55700000002</v>
      </c>
      <c r="F78" s="310">
        <v>120782.48599999999</v>
      </c>
    </row>
    <row r="79" spans="2:6">
      <c r="B79" s="307" t="s">
        <v>106</v>
      </c>
      <c r="C79" s="308">
        <v>1282.8800000000001</v>
      </c>
      <c r="D79" s="308">
        <v>677.15900000000011</v>
      </c>
      <c r="E79" s="308">
        <v>9327.56</v>
      </c>
      <c r="F79" s="308">
        <v>11287.598999999998</v>
      </c>
    </row>
    <row r="80" spans="2:6">
      <c r="B80" s="307" t="s">
        <v>107</v>
      </c>
      <c r="C80" s="308">
        <v>2381.4549999999999</v>
      </c>
      <c r="D80" s="308">
        <v>909.98299999999995</v>
      </c>
      <c r="E80" s="308">
        <v>15558.374999999998</v>
      </c>
      <c r="F80" s="308">
        <v>18849.812999999995</v>
      </c>
    </row>
    <row r="81" spans="2:6">
      <c r="B81" s="307" t="s">
        <v>108</v>
      </c>
      <c r="C81" s="308">
        <v>1450.914</v>
      </c>
      <c r="D81" s="308">
        <v>686.26900000000001</v>
      </c>
      <c r="E81" s="308">
        <v>10580.067000000001</v>
      </c>
      <c r="F81" s="308">
        <v>12717.250000000002</v>
      </c>
    </row>
    <row r="82" spans="2:6">
      <c r="B82" s="307" t="s">
        <v>109</v>
      </c>
      <c r="C82" s="308">
        <v>3297.12</v>
      </c>
      <c r="D82" s="308">
        <v>1339.529</v>
      </c>
      <c r="E82" s="308">
        <v>24936.926000000003</v>
      </c>
      <c r="F82" s="308">
        <v>29573.575000000001</v>
      </c>
    </row>
    <row r="83" spans="2:6">
      <c r="B83" s="307" t="s">
        <v>110</v>
      </c>
      <c r="C83" s="308">
        <v>2615.69</v>
      </c>
      <c r="D83" s="308">
        <v>1018.244</v>
      </c>
      <c r="E83" s="308">
        <v>18510.001</v>
      </c>
      <c r="F83" s="308">
        <v>22143.934999999998</v>
      </c>
    </row>
    <row r="84" spans="2:6">
      <c r="B84" s="307" t="s">
        <v>111</v>
      </c>
      <c r="C84" s="308">
        <v>1148.8920000000001</v>
      </c>
      <c r="D84" s="308">
        <v>482.72800000000007</v>
      </c>
      <c r="E84" s="308">
        <v>9587.0810000000001</v>
      </c>
      <c r="F84" s="308">
        <v>11218.701000000001</v>
      </c>
    </row>
    <row r="85" spans="2:6">
      <c r="B85" s="307" t="s">
        <v>112</v>
      </c>
      <c r="C85" s="308">
        <v>1165.164</v>
      </c>
      <c r="D85" s="308">
        <v>487.07100000000003</v>
      </c>
      <c r="E85" s="308">
        <v>8033.857</v>
      </c>
      <c r="F85" s="308">
        <v>9686.0920000000006</v>
      </c>
    </row>
    <row r="86" spans="2:6">
      <c r="B86" s="307" t="s">
        <v>113</v>
      </c>
      <c r="C86" s="308">
        <v>589.05100000000004</v>
      </c>
      <c r="D86" s="308">
        <v>241.77999999999997</v>
      </c>
      <c r="E86" s="308">
        <v>4474.6899999999996</v>
      </c>
      <c r="F86" s="308">
        <v>5305.5209999999997</v>
      </c>
    </row>
    <row r="87" spans="2:6">
      <c r="B87" s="307"/>
      <c r="C87" s="308"/>
      <c r="D87" s="308"/>
      <c r="E87" s="308"/>
      <c r="F87" s="308"/>
    </row>
    <row r="88" spans="2:6">
      <c r="B88" s="309" t="s">
        <v>21</v>
      </c>
      <c r="C88" s="310">
        <v>18425.665000000001</v>
      </c>
      <c r="D88" s="310">
        <v>8611.0560000000005</v>
      </c>
      <c r="E88" s="310">
        <v>132391.429</v>
      </c>
      <c r="F88" s="310">
        <v>159428.14999999997</v>
      </c>
    </row>
    <row r="89" spans="2:6">
      <c r="B89" s="307" t="s">
        <v>114</v>
      </c>
      <c r="C89" s="308">
        <v>401.62500000000006</v>
      </c>
      <c r="D89" s="308">
        <v>189.072</v>
      </c>
      <c r="E89" s="308">
        <v>3624.8520000000003</v>
      </c>
      <c r="F89" s="308">
        <v>4215.5490000000009</v>
      </c>
    </row>
    <row r="90" spans="2:6">
      <c r="B90" s="307" t="s">
        <v>115</v>
      </c>
      <c r="C90" s="308">
        <v>8232.42</v>
      </c>
      <c r="D90" s="308">
        <v>4509.5400000000009</v>
      </c>
      <c r="E90" s="308">
        <v>60993.989000000001</v>
      </c>
      <c r="F90" s="308">
        <v>73735.949000000008</v>
      </c>
    </row>
    <row r="91" spans="2:6">
      <c r="B91" s="307" t="s">
        <v>116</v>
      </c>
      <c r="C91" s="308">
        <v>2458.7950000000001</v>
      </c>
      <c r="D91" s="308">
        <v>1048.317</v>
      </c>
      <c r="E91" s="308">
        <v>17266.121999999999</v>
      </c>
      <c r="F91" s="308">
        <v>20773.233999999997</v>
      </c>
    </row>
    <row r="92" spans="2:6">
      <c r="B92" s="307" t="s">
        <v>117</v>
      </c>
      <c r="C92" s="308">
        <v>1148.8399999999999</v>
      </c>
      <c r="D92" s="308">
        <v>408.44100000000003</v>
      </c>
      <c r="E92" s="308">
        <v>7929.1890000000003</v>
      </c>
      <c r="F92" s="308">
        <v>9486.4700000000012</v>
      </c>
    </row>
    <row r="93" spans="2:6">
      <c r="B93" s="307" t="s">
        <v>118</v>
      </c>
      <c r="C93" s="308">
        <v>1194.364</v>
      </c>
      <c r="D93" s="308">
        <v>416.226</v>
      </c>
      <c r="E93" s="308">
        <v>7477.1819999999998</v>
      </c>
      <c r="F93" s="308">
        <v>9087.771999999999</v>
      </c>
    </row>
    <row r="94" spans="2:6">
      <c r="B94" s="307" t="s">
        <v>119</v>
      </c>
      <c r="C94" s="308">
        <v>513.38</v>
      </c>
      <c r="D94" s="308">
        <v>218.8</v>
      </c>
      <c r="E94" s="308">
        <v>3396.8250000000003</v>
      </c>
      <c r="F94" s="308">
        <v>4129.0050000000001</v>
      </c>
    </row>
    <row r="95" spans="2:6">
      <c r="B95" s="307" t="s">
        <v>120</v>
      </c>
      <c r="C95" s="308">
        <v>1329.92</v>
      </c>
      <c r="D95" s="308">
        <v>463.01</v>
      </c>
      <c r="E95" s="308">
        <v>9256.26</v>
      </c>
      <c r="F95" s="308">
        <v>11049.19</v>
      </c>
    </row>
    <row r="96" spans="2:6">
      <c r="B96" s="307" t="s">
        <v>121</v>
      </c>
      <c r="C96" s="308">
        <v>2350.4770000000003</v>
      </c>
      <c r="D96" s="308">
        <v>966.67</v>
      </c>
      <c r="E96" s="308">
        <v>16593.11</v>
      </c>
      <c r="F96" s="308">
        <v>19910.256999999998</v>
      </c>
    </row>
    <row r="97" spans="2:6">
      <c r="B97" s="307" t="s">
        <v>122</v>
      </c>
      <c r="C97" s="308">
        <v>795.84399999999994</v>
      </c>
      <c r="D97" s="308">
        <v>390.98</v>
      </c>
      <c r="E97" s="308">
        <v>5853.9000000000005</v>
      </c>
      <c r="F97" s="308">
        <v>7040.7240000000011</v>
      </c>
    </row>
    <row r="98" spans="2:6">
      <c r="B98" s="307"/>
      <c r="C98" s="308"/>
      <c r="D98" s="308"/>
      <c r="E98" s="308"/>
      <c r="F98" s="308"/>
    </row>
    <row r="99" spans="2:6">
      <c r="B99" s="309" t="s">
        <v>295</v>
      </c>
      <c r="C99" s="310">
        <v>13942.897999999999</v>
      </c>
      <c r="D99" s="310">
        <v>7408.4819999999991</v>
      </c>
      <c r="E99" s="310">
        <v>116308.52899999998</v>
      </c>
      <c r="F99" s="310">
        <v>137659.90900000001</v>
      </c>
    </row>
    <row r="100" spans="2:6">
      <c r="B100" s="307" t="s">
        <v>123</v>
      </c>
      <c r="C100" s="308">
        <v>514.21600000000001</v>
      </c>
      <c r="D100" s="308">
        <v>205.11900000000003</v>
      </c>
      <c r="E100" s="308">
        <v>4205.5650000000005</v>
      </c>
      <c r="F100" s="308">
        <v>4924.9000000000005</v>
      </c>
    </row>
    <row r="101" spans="2:6">
      <c r="B101" s="307" t="s">
        <v>124</v>
      </c>
      <c r="C101" s="308">
        <v>152.59799999999998</v>
      </c>
      <c r="D101" s="308">
        <v>65.144999999999996</v>
      </c>
      <c r="E101" s="308">
        <v>1298.808</v>
      </c>
      <c r="F101" s="308">
        <v>1516.5509999999999</v>
      </c>
    </row>
    <row r="102" spans="2:6">
      <c r="B102" s="307" t="s">
        <v>125</v>
      </c>
      <c r="C102" s="308">
        <v>336.68</v>
      </c>
      <c r="D102" s="308">
        <v>126.304</v>
      </c>
      <c r="E102" s="308">
        <v>2980.61</v>
      </c>
      <c r="F102" s="308">
        <v>3443.5940000000001</v>
      </c>
    </row>
    <row r="103" spans="2:6">
      <c r="B103" s="307" t="s">
        <v>126</v>
      </c>
      <c r="C103" s="308">
        <v>199.99800000000002</v>
      </c>
      <c r="D103" s="308">
        <v>107.729</v>
      </c>
      <c r="E103" s="308">
        <v>2282.3869999999997</v>
      </c>
      <c r="F103" s="308">
        <v>2590.1139999999996</v>
      </c>
    </row>
    <row r="104" spans="2:6">
      <c r="B104" s="307" t="s">
        <v>127</v>
      </c>
      <c r="C104" s="308">
        <v>3206.8960000000002</v>
      </c>
      <c r="D104" s="308">
        <v>1297.6669999999999</v>
      </c>
      <c r="E104" s="308">
        <v>27504.875</v>
      </c>
      <c r="F104" s="308">
        <v>32009.438000000002</v>
      </c>
    </row>
    <row r="105" spans="2:6">
      <c r="B105" s="307" t="s">
        <v>128</v>
      </c>
      <c r="C105" s="308">
        <v>1151.6120000000001</v>
      </c>
      <c r="D105" s="308">
        <v>506.00900000000001</v>
      </c>
      <c r="E105" s="308">
        <v>8783.85</v>
      </c>
      <c r="F105" s="308">
        <v>10441.471000000001</v>
      </c>
    </row>
    <row r="106" spans="2:6">
      <c r="B106" s="307" t="s">
        <v>129</v>
      </c>
      <c r="C106" s="308">
        <v>335.67099999999999</v>
      </c>
      <c r="D106" s="308">
        <v>118.946</v>
      </c>
      <c r="E106" s="308">
        <v>2425.5439999999999</v>
      </c>
      <c r="F106" s="308">
        <v>2880.1609999999996</v>
      </c>
    </row>
    <row r="107" spans="2:6">
      <c r="B107" s="307" t="s">
        <v>130</v>
      </c>
      <c r="C107" s="308">
        <v>123.5</v>
      </c>
      <c r="D107" s="308">
        <v>46.222000000000001</v>
      </c>
      <c r="E107" s="308">
        <v>1031.3050000000001</v>
      </c>
      <c r="F107" s="308">
        <v>1201.027</v>
      </c>
    </row>
    <row r="108" spans="2:6">
      <c r="B108" s="307" t="s">
        <v>131</v>
      </c>
      <c r="C108" s="308">
        <v>126.953</v>
      </c>
      <c r="D108" s="308">
        <v>52.642000000000003</v>
      </c>
      <c r="E108" s="308">
        <v>973.48799999999994</v>
      </c>
      <c r="F108" s="308">
        <v>1153.0829999999999</v>
      </c>
    </row>
    <row r="109" spans="2:6">
      <c r="B109" s="307" t="s">
        <v>132</v>
      </c>
      <c r="C109" s="308">
        <v>699.596</v>
      </c>
      <c r="D109" s="308">
        <v>276.10399999999998</v>
      </c>
      <c r="E109" s="308">
        <v>5888.16</v>
      </c>
      <c r="F109" s="308">
        <v>6863.8600000000006</v>
      </c>
    </row>
    <row r="110" spans="2:6">
      <c r="B110" s="307" t="s">
        <v>133</v>
      </c>
      <c r="C110" s="308">
        <v>1541.19</v>
      </c>
      <c r="D110" s="308">
        <v>477.55200000000002</v>
      </c>
      <c r="E110" s="308">
        <v>11603.6</v>
      </c>
      <c r="F110" s="308">
        <v>13622.342000000001</v>
      </c>
    </row>
    <row r="111" spans="2:6">
      <c r="B111" s="307" t="s">
        <v>134</v>
      </c>
      <c r="C111" s="308">
        <v>505.88500000000005</v>
      </c>
      <c r="D111" s="308">
        <v>657.59500000000003</v>
      </c>
      <c r="E111" s="308">
        <v>4660.3379999999997</v>
      </c>
      <c r="F111" s="308">
        <v>5823.8180000000002</v>
      </c>
    </row>
    <row r="112" spans="2:6">
      <c r="B112" s="307" t="s">
        <v>135</v>
      </c>
      <c r="C112" s="308">
        <v>439.911</v>
      </c>
      <c r="D112" s="308">
        <v>164.40900000000002</v>
      </c>
      <c r="E112" s="308">
        <v>3415.23</v>
      </c>
      <c r="F112" s="308">
        <v>4019.55</v>
      </c>
    </row>
    <row r="113" spans="2:6">
      <c r="B113" s="307" t="s">
        <v>136</v>
      </c>
      <c r="C113" s="308">
        <v>257.02499999999998</v>
      </c>
      <c r="D113" s="308">
        <v>183.60600000000002</v>
      </c>
      <c r="E113" s="308">
        <v>2284.6080000000002</v>
      </c>
      <c r="F113" s="308">
        <v>2725.2390000000005</v>
      </c>
    </row>
    <row r="114" spans="2:6">
      <c r="B114" s="307" t="s">
        <v>137</v>
      </c>
      <c r="C114" s="308">
        <v>628.83600000000001</v>
      </c>
      <c r="D114" s="308">
        <v>231.69299999999998</v>
      </c>
      <c r="E114" s="308">
        <v>4887.54</v>
      </c>
      <c r="F114" s="308">
        <v>5748.0690000000004</v>
      </c>
    </row>
    <row r="115" spans="2:6">
      <c r="B115" s="307" t="s">
        <v>138</v>
      </c>
      <c r="C115" s="308">
        <v>182.55199999999999</v>
      </c>
      <c r="D115" s="308">
        <v>57.856999999999999</v>
      </c>
      <c r="E115" s="308">
        <v>1615.4929999999999</v>
      </c>
      <c r="F115" s="308">
        <v>1855.9019999999998</v>
      </c>
    </row>
    <row r="116" spans="2:6">
      <c r="B116" s="307" t="s">
        <v>139</v>
      </c>
      <c r="C116" s="308">
        <v>250.96</v>
      </c>
      <c r="D116" s="308">
        <v>93.616000000000014</v>
      </c>
      <c r="E116" s="308">
        <v>2019.402</v>
      </c>
      <c r="F116" s="308">
        <v>2363.9780000000001</v>
      </c>
    </row>
    <row r="117" spans="2:6">
      <c r="B117" s="307" t="s">
        <v>140</v>
      </c>
      <c r="C117" s="308">
        <v>970.75199999999995</v>
      </c>
      <c r="D117" s="308">
        <v>380.86200000000002</v>
      </c>
      <c r="E117" s="308">
        <v>7596.6140000000005</v>
      </c>
      <c r="F117" s="308">
        <v>8948.228000000001</v>
      </c>
    </row>
    <row r="118" spans="2:6">
      <c r="B118" s="307" t="s">
        <v>141</v>
      </c>
      <c r="C118" s="308">
        <v>267.24200000000002</v>
      </c>
      <c r="D118" s="308">
        <v>90.039999999999992</v>
      </c>
      <c r="E118" s="308">
        <v>1766.454</v>
      </c>
      <c r="F118" s="308">
        <v>2123.7359999999999</v>
      </c>
    </row>
    <row r="119" spans="2:6">
      <c r="B119" s="307" t="s">
        <v>142</v>
      </c>
      <c r="C119" s="308">
        <v>372.14100000000002</v>
      </c>
      <c r="D119" s="308">
        <v>189.66399999999999</v>
      </c>
      <c r="E119" s="308">
        <v>3086.17</v>
      </c>
      <c r="F119" s="308">
        <v>3647.9749999999999</v>
      </c>
    </row>
    <row r="120" spans="2:6">
      <c r="B120" s="307" t="s">
        <v>143</v>
      </c>
      <c r="C120" s="308">
        <v>477.738</v>
      </c>
      <c r="D120" s="308">
        <v>1611.232</v>
      </c>
      <c r="E120" s="308">
        <v>6511.8779999999997</v>
      </c>
      <c r="F120" s="308">
        <v>8600.848</v>
      </c>
    </row>
    <row r="121" spans="2:6">
      <c r="B121" s="307" t="s">
        <v>144</v>
      </c>
      <c r="C121" s="308">
        <v>973.74199999999996</v>
      </c>
      <c r="D121" s="308">
        <v>380.947</v>
      </c>
      <c r="E121" s="308">
        <v>7519.2960000000003</v>
      </c>
      <c r="F121" s="308">
        <v>8873.9850000000006</v>
      </c>
    </row>
    <row r="122" spans="2:6">
      <c r="B122" s="307" t="s">
        <v>145</v>
      </c>
      <c r="C122" s="308">
        <v>227.20400000000001</v>
      </c>
      <c r="D122" s="308">
        <v>87.521999999999991</v>
      </c>
      <c r="E122" s="308">
        <v>1967.3140000000001</v>
      </c>
      <c r="F122" s="308">
        <v>2282.0400000000004</v>
      </c>
    </row>
    <row r="123" spans="2:6">
      <c r="B123" s="307"/>
      <c r="C123" s="308"/>
      <c r="D123" s="308"/>
      <c r="E123" s="308"/>
      <c r="F123" s="308"/>
    </row>
    <row r="124" spans="2:6">
      <c r="B124" s="309" t="s">
        <v>301</v>
      </c>
      <c r="C124" s="310">
        <v>161478.51500000007</v>
      </c>
      <c r="D124" s="310">
        <v>73497.714000000036</v>
      </c>
      <c r="E124" s="310">
        <v>1207115.3489999999</v>
      </c>
      <c r="F124" s="310">
        <v>1442091.5780000004</v>
      </c>
    </row>
    <row r="125" spans="2:6">
      <c r="B125"/>
      <c r="C125"/>
      <c r="D125"/>
      <c r="E125"/>
      <c r="F125"/>
    </row>
    <row r="126" spans="2:6">
      <c r="B126"/>
      <c r="C126"/>
      <c r="D126"/>
      <c r="E126"/>
      <c r="F126"/>
    </row>
    <row r="127" spans="2:6">
      <c r="B127"/>
      <c r="C127"/>
      <c r="D127"/>
      <c r="E127"/>
      <c r="F127"/>
    </row>
    <row r="128" spans="2:6">
      <c r="B128"/>
      <c r="C128"/>
      <c r="D128"/>
      <c r="E128"/>
      <c r="F128"/>
    </row>
  </sheetData>
  <sheetProtection sheet="1" objects="1" scenarios="1"/>
  <pageMargins left="0.3" right="0.3" top="0.5" bottom="0.5" header="0.3" footer="0.3"/>
  <pageSetup scale="80" fitToHeight="2"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111"/>
  <sheetViews>
    <sheetView showGridLines="0" zoomScale="80" zoomScaleNormal="80" workbookViewId="0">
      <pane xSplit="1" ySplit="5" topLeftCell="B85" activePane="bottomRight" state="frozen"/>
      <selection activeCell="B88" sqref="B88"/>
      <selection pane="topRight" activeCell="B88" sqref="B88"/>
      <selection pane="bottomLeft" activeCell="B88" sqref="B88"/>
      <selection pane="bottomRight" activeCell="B6" sqref="B6"/>
    </sheetView>
  </sheetViews>
  <sheetFormatPr defaultRowHeight="14.25"/>
  <cols>
    <col min="1" max="1" width="21.5703125" style="247" customWidth="1"/>
    <col min="2" max="2" width="43.5703125" style="246" customWidth="1"/>
    <col min="3" max="3" width="12.42578125" style="289" customWidth="1"/>
    <col min="4" max="19" width="16.140625" style="246" customWidth="1"/>
    <col min="20" max="16384" width="9.140625" style="246"/>
  </cols>
  <sheetData>
    <row r="1" spans="1:19" ht="24.95" customHeight="1">
      <c r="A1" s="463" t="s">
        <v>494</v>
      </c>
      <c r="B1" s="464"/>
      <c r="C1" s="464"/>
      <c r="D1" s="465" t="s">
        <v>495</v>
      </c>
      <c r="E1" s="465" t="s">
        <v>495</v>
      </c>
      <c r="F1" s="465" t="s">
        <v>495</v>
      </c>
      <c r="G1" s="465"/>
      <c r="H1" s="465"/>
      <c r="I1" s="465" t="s">
        <v>495</v>
      </c>
      <c r="J1" s="464"/>
      <c r="K1" s="464"/>
      <c r="L1" s="464"/>
      <c r="M1" s="464"/>
      <c r="N1" s="464"/>
      <c r="O1" s="464"/>
      <c r="P1" s="464"/>
      <c r="Q1" s="464"/>
      <c r="R1" s="464"/>
      <c r="S1" s="464"/>
    </row>
    <row r="2" spans="1:19" ht="18">
      <c r="A2" s="244" t="s">
        <v>493</v>
      </c>
      <c r="B2" s="245"/>
      <c r="C2" s="245"/>
      <c r="D2" s="245"/>
      <c r="E2" s="245"/>
      <c r="F2" s="245"/>
      <c r="G2" s="245"/>
      <c r="H2" s="245"/>
      <c r="I2" s="245"/>
      <c r="J2" s="245"/>
      <c r="K2" s="245"/>
      <c r="L2" s="245"/>
      <c r="M2" s="245"/>
      <c r="N2" s="245"/>
      <c r="O2" s="245"/>
      <c r="P2" s="244"/>
      <c r="Q2" s="244"/>
      <c r="R2" s="244"/>
      <c r="S2" s="245"/>
    </row>
    <row r="3" spans="1:19" s="455" customFormat="1" ht="24.95" customHeight="1" thickBot="1">
      <c r="A3" s="454">
        <v>1</v>
      </c>
      <c r="B3" s="454">
        <v>2</v>
      </c>
      <c r="C3" s="454">
        <v>3</v>
      </c>
      <c r="D3" s="454">
        <v>4</v>
      </c>
      <c r="E3" s="454">
        <v>5</v>
      </c>
      <c r="F3" s="454">
        <v>6</v>
      </c>
      <c r="G3" s="454">
        <v>7</v>
      </c>
      <c r="H3" s="454">
        <v>8</v>
      </c>
      <c r="I3" s="454">
        <v>9</v>
      </c>
      <c r="J3" s="454">
        <v>10</v>
      </c>
      <c r="K3" s="454">
        <v>11</v>
      </c>
      <c r="L3" s="454">
        <v>12</v>
      </c>
      <c r="M3" s="454">
        <v>13</v>
      </c>
      <c r="N3" s="454">
        <v>14</v>
      </c>
      <c r="O3" s="454">
        <v>15</v>
      </c>
      <c r="P3" s="454">
        <v>16</v>
      </c>
      <c r="Q3" s="454">
        <v>17</v>
      </c>
      <c r="R3" s="454">
        <v>18</v>
      </c>
      <c r="S3" s="454">
        <v>19</v>
      </c>
    </row>
    <row r="4" spans="1:19" ht="20.100000000000001" customHeight="1" thickTop="1">
      <c r="B4" s="245"/>
      <c r="C4" s="245"/>
      <c r="D4" s="248" t="s">
        <v>491</v>
      </c>
      <c r="E4" s="249"/>
      <c r="F4" s="250"/>
      <c r="G4" s="250"/>
      <c r="H4" s="250"/>
      <c r="I4" s="250"/>
      <c r="J4" s="251"/>
      <c r="K4" s="456" t="s">
        <v>496</v>
      </c>
      <c r="L4" s="250"/>
      <c r="M4" s="251"/>
      <c r="N4" s="252" t="s">
        <v>492</v>
      </c>
      <c r="O4" s="253"/>
      <c r="P4" s="253"/>
      <c r="Q4" s="253"/>
      <c r="R4" s="253"/>
      <c r="S4" s="254"/>
    </row>
    <row r="5" spans="1:19" ht="71.25" customHeight="1" thickBot="1">
      <c r="A5" s="255" t="s">
        <v>271</v>
      </c>
      <c r="B5" s="255" t="s">
        <v>296</v>
      </c>
      <c r="C5" s="255" t="s">
        <v>272</v>
      </c>
      <c r="D5" s="256" t="s">
        <v>486</v>
      </c>
      <c r="E5" s="257" t="s">
        <v>274</v>
      </c>
      <c r="F5" s="257" t="s">
        <v>275</v>
      </c>
      <c r="G5" s="257" t="s">
        <v>284</v>
      </c>
      <c r="H5" s="257" t="s">
        <v>278</v>
      </c>
      <c r="I5" s="258" t="s">
        <v>279</v>
      </c>
      <c r="J5" s="259" t="s">
        <v>280</v>
      </c>
      <c r="K5" s="466" t="s">
        <v>497</v>
      </c>
      <c r="L5" s="467" t="s">
        <v>498</v>
      </c>
      <c r="M5" s="505" t="s">
        <v>499</v>
      </c>
      <c r="N5" s="506" t="s">
        <v>274</v>
      </c>
      <c r="O5" s="507" t="s">
        <v>275</v>
      </c>
      <c r="P5" s="508" t="s">
        <v>284</v>
      </c>
      <c r="Q5" s="508" t="s">
        <v>285</v>
      </c>
      <c r="R5" s="508" t="s">
        <v>286</v>
      </c>
      <c r="S5" s="267" t="s">
        <v>287</v>
      </c>
    </row>
    <row r="6" spans="1:19" ht="24.95" customHeight="1" thickTop="1">
      <c r="A6" s="268" t="s">
        <v>50</v>
      </c>
      <c r="B6" s="269" t="s">
        <v>14</v>
      </c>
      <c r="C6" s="270" t="s">
        <v>288</v>
      </c>
      <c r="D6" s="271">
        <v>154732</v>
      </c>
      <c r="E6" s="271">
        <v>5187</v>
      </c>
      <c r="F6" s="271">
        <v>29640</v>
      </c>
      <c r="G6" s="271">
        <v>7716</v>
      </c>
      <c r="H6" s="271">
        <v>87239</v>
      </c>
      <c r="I6" s="271">
        <v>24950</v>
      </c>
      <c r="J6" s="271">
        <f t="shared" ref="J6:J69" si="0">SUM(F6:H6)</f>
        <v>124595</v>
      </c>
      <c r="K6" s="468">
        <v>7.2000000000000008E-2</v>
      </c>
      <c r="L6" s="468">
        <v>0.24299999999999999</v>
      </c>
      <c r="M6" s="469">
        <v>0.19500000000000001</v>
      </c>
      <c r="N6" s="274">
        <f>E6*K6</f>
        <v>373.46400000000006</v>
      </c>
      <c r="O6" s="275">
        <f>F6*K6</f>
        <v>2134.0800000000004</v>
      </c>
      <c r="P6" s="275">
        <f>G6*L6</f>
        <v>1874.9880000000001</v>
      </c>
      <c r="Q6" s="275">
        <f>H6*L6</f>
        <v>21199.077000000001</v>
      </c>
      <c r="R6" s="275">
        <f>SUM(P6:Q6)</f>
        <v>23074.065000000002</v>
      </c>
      <c r="S6" s="275">
        <f>J6*M6</f>
        <v>24296.025000000001</v>
      </c>
    </row>
    <row r="7" spans="1:19" ht="24.95" customHeight="1">
      <c r="A7" s="276" t="s">
        <v>123</v>
      </c>
      <c r="B7" s="277" t="s">
        <v>295</v>
      </c>
      <c r="C7" s="278" t="s">
        <v>288</v>
      </c>
      <c r="D7" s="279">
        <v>37383</v>
      </c>
      <c r="E7" s="279">
        <v>1098</v>
      </c>
      <c r="F7" s="279">
        <v>6622</v>
      </c>
      <c r="G7" s="279">
        <v>1306</v>
      </c>
      <c r="H7" s="279">
        <v>21507</v>
      </c>
      <c r="I7" s="279">
        <v>6850</v>
      </c>
      <c r="J7" s="279">
        <f t="shared" si="0"/>
        <v>29435</v>
      </c>
      <c r="K7" s="470">
        <v>6.8000000000000005E-2</v>
      </c>
      <c r="L7" s="470">
        <v>0.214</v>
      </c>
      <c r="M7" s="471">
        <v>0.17399999999999999</v>
      </c>
      <c r="N7" s="282">
        <f t="shared" ref="N7:N70" si="1">E7*K7</f>
        <v>74.664000000000001</v>
      </c>
      <c r="O7" s="283">
        <f t="shared" ref="O7:P70" si="2">F7*K7</f>
        <v>450.29600000000005</v>
      </c>
      <c r="P7" s="283">
        <f t="shared" si="2"/>
        <v>279.48399999999998</v>
      </c>
      <c r="Q7" s="283">
        <f t="shared" ref="Q7:Q70" si="3">H7*L7</f>
        <v>4602.4979999999996</v>
      </c>
      <c r="R7" s="283">
        <f t="shared" ref="R7:R70" si="4">SUM(P7:Q7)</f>
        <v>4881.982</v>
      </c>
      <c r="S7" s="283">
        <f t="shared" ref="S7:S70" si="5">J7*M7</f>
        <v>5121.6899999999996</v>
      </c>
    </row>
    <row r="8" spans="1:19" ht="24.95" customHeight="1">
      <c r="A8" s="276" t="s">
        <v>124</v>
      </c>
      <c r="B8" s="277" t="s">
        <v>295</v>
      </c>
      <c r="C8" s="278" t="s">
        <v>289</v>
      </c>
      <c r="D8" s="279">
        <v>11156</v>
      </c>
      <c r="E8" s="279">
        <v>272</v>
      </c>
      <c r="F8" s="279">
        <v>1743</v>
      </c>
      <c r="G8" s="279">
        <v>379</v>
      </c>
      <c r="H8" s="279">
        <v>6063</v>
      </c>
      <c r="I8" s="279">
        <v>2699</v>
      </c>
      <c r="J8" s="279">
        <f t="shared" si="0"/>
        <v>8185</v>
      </c>
      <c r="K8" s="470">
        <v>0.113</v>
      </c>
      <c r="L8" s="470">
        <v>0.29499999999999998</v>
      </c>
      <c r="M8" s="471">
        <v>0.251</v>
      </c>
      <c r="N8" s="282">
        <f t="shared" si="1"/>
        <v>30.736000000000001</v>
      </c>
      <c r="O8" s="283">
        <f t="shared" si="2"/>
        <v>196.959</v>
      </c>
      <c r="P8" s="283">
        <f t="shared" si="2"/>
        <v>111.80499999999999</v>
      </c>
      <c r="Q8" s="283">
        <f t="shared" si="3"/>
        <v>1788.5849999999998</v>
      </c>
      <c r="R8" s="283">
        <f t="shared" si="4"/>
        <v>1900.3899999999999</v>
      </c>
      <c r="S8" s="283">
        <f t="shared" si="5"/>
        <v>2054.4349999999999</v>
      </c>
    </row>
    <row r="9" spans="1:19" ht="24.95" customHeight="1">
      <c r="A9" s="276" t="s">
        <v>114</v>
      </c>
      <c r="B9" s="277" t="s">
        <v>21</v>
      </c>
      <c r="C9" s="278" t="s">
        <v>289</v>
      </c>
      <c r="D9" s="279">
        <v>26429</v>
      </c>
      <c r="E9" s="279">
        <v>719</v>
      </c>
      <c r="F9" s="279">
        <v>4698</v>
      </c>
      <c r="G9" s="279">
        <v>944</v>
      </c>
      <c r="H9" s="279">
        <v>15719</v>
      </c>
      <c r="I9" s="279">
        <v>4349</v>
      </c>
      <c r="J9" s="279">
        <f t="shared" si="0"/>
        <v>21361</v>
      </c>
      <c r="K9" s="470">
        <v>6.2E-2</v>
      </c>
      <c r="L9" s="470">
        <v>0.23899999999999999</v>
      </c>
      <c r="M9" s="471">
        <v>0.19</v>
      </c>
      <c r="N9" s="282">
        <f t="shared" si="1"/>
        <v>44.578000000000003</v>
      </c>
      <c r="O9" s="283">
        <f t="shared" si="2"/>
        <v>291.27600000000001</v>
      </c>
      <c r="P9" s="283">
        <f t="shared" si="2"/>
        <v>225.61599999999999</v>
      </c>
      <c r="Q9" s="283">
        <f t="shared" si="3"/>
        <v>3756.8409999999999</v>
      </c>
      <c r="R9" s="283">
        <f t="shared" si="4"/>
        <v>3982.4569999999999</v>
      </c>
      <c r="S9" s="283">
        <f t="shared" si="5"/>
        <v>4058.59</v>
      </c>
    </row>
    <row r="10" spans="1:19" ht="24.95" customHeight="1">
      <c r="A10" s="276" t="s">
        <v>125</v>
      </c>
      <c r="B10" s="277" t="s">
        <v>295</v>
      </c>
      <c r="C10" s="278" t="s">
        <v>289</v>
      </c>
      <c r="D10" s="279">
        <v>27444</v>
      </c>
      <c r="E10" s="279">
        <v>753</v>
      </c>
      <c r="F10" s="279">
        <v>4371</v>
      </c>
      <c r="G10" s="279">
        <v>866</v>
      </c>
      <c r="H10" s="279">
        <v>15043</v>
      </c>
      <c r="I10" s="279">
        <v>6411</v>
      </c>
      <c r="J10" s="279">
        <f t="shared" si="0"/>
        <v>20280</v>
      </c>
      <c r="K10" s="470">
        <v>9.0999999999999998E-2</v>
      </c>
      <c r="L10" s="470">
        <v>0.28000000000000003</v>
      </c>
      <c r="M10" s="471">
        <v>0.23399999999999999</v>
      </c>
      <c r="N10" s="282">
        <f t="shared" si="1"/>
        <v>68.522999999999996</v>
      </c>
      <c r="O10" s="283">
        <f t="shared" si="2"/>
        <v>397.76099999999997</v>
      </c>
      <c r="P10" s="283">
        <f t="shared" si="2"/>
        <v>242.48000000000002</v>
      </c>
      <c r="Q10" s="283">
        <f t="shared" si="3"/>
        <v>4212.04</v>
      </c>
      <c r="R10" s="283">
        <f t="shared" si="4"/>
        <v>4454.5200000000004</v>
      </c>
      <c r="S10" s="283">
        <f t="shared" si="5"/>
        <v>4745.5199999999995</v>
      </c>
    </row>
    <row r="11" spans="1:19" ht="24.95" customHeight="1">
      <c r="A11" s="276" t="s">
        <v>126</v>
      </c>
      <c r="B11" s="277" t="s">
        <v>295</v>
      </c>
      <c r="C11" s="278" t="s">
        <v>289</v>
      </c>
      <c r="D11" s="279">
        <v>17879</v>
      </c>
      <c r="E11" s="279">
        <v>452</v>
      </c>
      <c r="F11" s="279">
        <v>2392</v>
      </c>
      <c r="G11" s="279">
        <v>645</v>
      </c>
      <c r="H11" s="279">
        <v>10767</v>
      </c>
      <c r="I11" s="279">
        <v>3623</v>
      </c>
      <c r="J11" s="279">
        <f t="shared" si="0"/>
        <v>13804</v>
      </c>
      <c r="K11" s="470">
        <v>0.106</v>
      </c>
      <c r="L11" s="470">
        <v>0.28899999999999998</v>
      </c>
      <c r="M11" s="471">
        <v>0.24600000000000002</v>
      </c>
      <c r="N11" s="282">
        <f t="shared" si="1"/>
        <v>47.911999999999999</v>
      </c>
      <c r="O11" s="283">
        <f t="shared" si="2"/>
        <v>253.55199999999999</v>
      </c>
      <c r="P11" s="283">
        <f t="shared" si="2"/>
        <v>186.40499999999997</v>
      </c>
      <c r="Q11" s="283">
        <f t="shared" si="3"/>
        <v>3111.6629999999996</v>
      </c>
      <c r="R11" s="283">
        <f t="shared" si="4"/>
        <v>3298.0679999999993</v>
      </c>
      <c r="S11" s="283">
        <f t="shared" si="5"/>
        <v>3395.7840000000006</v>
      </c>
    </row>
    <row r="12" spans="1:19" ht="24.95" customHeight="1">
      <c r="A12" s="276" t="s">
        <v>74</v>
      </c>
      <c r="B12" s="277" t="s">
        <v>482</v>
      </c>
      <c r="C12" s="278" t="s">
        <v>289</v>
      </c>
      <c r="D12" s="279">
        <v>47782</v>
      </c>
      <c r="E12" s="279">
        <v>1439</v>
      </c>
      <c r="F12" s="279">
        <v>8626</v>
      </c>
      <c r="G12" s="279">
        <v>1512</v>
      </c>
      <c r="H12" s="279">
        <v>25594</v>
      </c>
      <c r="I12" s="279">
        <v>10611</v>
      </c>
      <c r="J12" s="279">
        <f t="shared" si="0"/>
        <v>35732</v>
      </c>
      <c r="K12" s="470">
        <v>8.199999999999999E-2</v>
      </c>
      <c r="L12" s="470">
        <v>0.23699999999999999</v>
      </c>
      <c r="M12" s="471">
        <v>0.19500000000000001</v>
      </c>
      <c r="N12" s="282">
        <f t="shared" si="1"/>
        <v>117.99799999999999</v>
      </c>
      <c r="O12" s="283">
        <f t="shared" si="2"/>
        <v>707.33199999999988</v>
      </c>
      <c r="P12" s="283">
        <f t="shared" si="2"/>
        <v>358.34399999999999</v>
      </c>
      <c r="Q12" s="283">
        <f t="shared" si="3"/>
        <v>6065.7779999999993</v>
      </c>
      <c r="R12" s="283">
        <f t="shared" si="4"/>
        <v>6424.1219999999994</v>
      </c>
      <c r="S12" s="283">
        <f t="shared" si="5"/>
        <v>6967.7400000000007</v>
      </c>
    </row>
    <row r="13" spans="1:19" ht="24.95" customHeight="1">
      <c r="A13" s="284" t="s">
        <v>75</v>
      </c>
      <c r="B13" s="285" t="s">
        <v>482</v>
      </c>
      <c r="C13" s="286" t="s">
        <v>289</v>
      </c>
      <c r="D13" s="279">
        <v>20611</v>
      </c>
      <c r="E13" s="279">
        <v>543</v>
      </c>
      <c r="F13" s="279">
        <v>3395</v>
      </c>
      <c r="G13" s="279">
        <v>788</v>
      </c>
      <c r="H13" s="279">
        <v>12048</v>
      </c>
      <c r="I13" s="279">
        <v>3837</v>
      </c>
      <c r="J13" s="279">
        <f t="shared" si="0"/>
        <v>16231</v>
      </c>
      <c r="K13" s="470">
        <v>5.9000000000000004E-2</v>
      </c>
      <c r="L13" s="470">
        <v>0.20800000000000002</v>
      </c>
      <c r="M13" s="471">
        <v>0.17</v>
      </c>
      <c r="N13" s="282">
        <f t="shared" si="1"/>
        <v>32.036999999999999</v>
      </c>
      <c r="O13" s="283">
        <f t="shared" si="2"/>
        <v>200.30500000000001</v>
      </c>
      <c r="P13" s="283">
        <f t="shared" si="2"/>
        <v>163.90400000000002</v>
      </c>
      <c r="Q13" s="283">
        <f t="shared" si="3"/>
        <v>2505.9840000000004</v>
      </c>
      <c r="R13" s="283">
        <f t="shared" si="4"/>
        <v>2669.8880000000004</v>
      </c>
      <c r="S13" s="283">
        <f t="shared" si="5"/>
        <v>2759.27</v>
      </c>
    </row>
    <row r="14" spans="1:19" ht="24.95" customHeight="1">
      <c r="A14" s="284" t="s">
        <v>93</v>
      </c>
      <c r="B14" s="285" t="s">
        <v>18</v>
      </c>
      <c r="C14" s="286" t="s">
        <v>289</v>
      </c>
      <c r="D14" s="279">
        <v>35245</v>
      </c>
      <c r="E14" s="279">
        <v>1049</v>
      </c>
      <c r="F14" s="279">
        <v>6448</v>
      </c>
      <c r="G14" s="279">
        <v>1319</v>
      </c>
      <c r="H14" s="279">
        <v>19854</v>
      </c>
      <c r="I14" s="279">
        <v>6575</v>
      </c>
      <c r="J14" s="279">
        <f t="shared" si="0"/>
        <v>27621</v>
      </c>
      <c r="K14" s="470">
        <v>8.3000000000000004E-2</v>
      </c>
      <c r="L14" s="470">
        <v>0.248</v>
      </c>
      <c r="M14" s="471">
        <v>0.20300000000000001</v>
      </c>
      <c r="N14" s="282">
        <f t="shared" si="1"/>
        <v>87.067000000000007</v>
      </c>
      <c r="O14" s="283">
        <f t="shared" si="2"/>
        <v>535.18400000000008</v>
      </c>
      <c r="P14" s="283">
        <f t="shared" si="2"/>
        <v>327.11200000000002</v>
      </c>
      <c r="Q14" s="283">
        <f t="shared" si="3"/>
        <v>4923.7920000000004</v>
      </c>
      <c r="R14" s="283">
        <f t="shared" si="4"/>
        <v>5250.9040000000005</v>
      </c>
      <c r="S14" s="283">
        <f t="shared" si="5"/>
        <v>5607.0630000000001</v>
      </c>
    </row>
    <row r="15" spans="1:19" ht="24.95" customHeight="1">
      <c r="A15" s="284" t="s">
        <v>69</v>
      </c>
      <c r="B15" s="285" t="s">
        <v>482</v>
      </c>
      <c r="C15" s="286" t="s">
        <v>288</v>
      </c>
      <c r="D15" s="279">
        <v>121744</v>
      </c>
      <c r="E15" s="279">
        <v>3173</v>
      </c>
      <c r="F15" s="279">
        <v>18292</v>
      </c>
      <c r="G15" s="279">
        <v>3045</v>
      </c>
      <c r="H15" s="279">
        <v>63973</v>
      </c>
      <c r="I15" s="279">
        <v>33261</v>
      </c>
      <c r="J15" s="279">
        <f t="shared" si="0"/>
        <v>85310</v>
      </c>
      <c r="K15" s="470">
        <v>7.9000000000000001E-2</v>
      </c>
      <c r="L15" s="470">
        <v>0.23100000000000001</v>
      </c>
      <c r="M15" s="471">
        <v>0.19399999999999998</v>
      </c>
      <c r="N15" s="282">
        <f t="shared" si="1"/>
        <v>250.667</v>
      </c>
      <c r="O15" s="283">
        <f t="shared" si="2"/>
        <v>1445.068</v>
      </c>
      <c r="P15" s="283">
        <f t="shared" si="2"/>
        <v>703.39499999999998</v>
      </c>
      <c r="Q15" s="283">
        <f t="shared" si="3"/>
        <v>14777.763000000001</v>
      </c>
      <c r="R15" s="283">
        <f t="shared" si="4"/>
        <v>15481.158000000001</v>
      </c>
      <c r="S15" s="283">
        <f t="shared" si="5"/>
        <v>16550.14</v>
      </c>
    </row>
    <row r="16" spans="1:19" ht="24.95" customHeight="1">
      <c r="A16" s="284" t="s">
        <v>127</v>
      </c>
      <c r="B16" s="285" t="s">
        <v>295</v>
      </c>
      <c r="C16" s="286" t="s">
        <v>288</v>
      </c>
      <c r="D16" s="279">
        <v>255008</v>
      </c>
      <c r="E16" s="279">
        <v>7853</v>
      </c>
      <c r="F16" s="279">
        <v>41908</v>
      </c>
      <c r="G16" s="279">
        <v>8506</v>
      </c>
      <c r="H16" s="279">
        <v>149907</v>
      </c>
      <c r="I16" s="279">
        <v>46834</v>
      </c>
      <c r="J16" s="279">
        <f t="shared" si="0"/>
        <v>200321</v>
      </c>
      <c r="K16" s="470">
        <v>6.8000000000000005E-2</v>
      </c>
      <c r="L16" s="470">
        <v>0.24399999999999999</v>
      </c>
      <c r="M16" s="471">
        <v>0.2</v>
      </c>
      <c r="N16" s="282">
        <f t="shared" si="1"/>
        <v>534.00400000000002</v>
      </c>
      <c r="O16" s="283">
        <f t="shared" si="2"/>
        <v>2849.7440000000001</v>
      </c>
      <c r="P16" s="283">
        <f t="shared" si="2"/>
        <v>2075.4639999999999</v>
      </c>
      <c r="Q16" s="283">
        <f t="shared" si="3"/>
        <v>36577.307999999997</v>
      </c>
      <c r="R16" s="283">
        <f t="shared" si="4"/>
        <v>38652.771999999997</v>
      </c>
      <c r="S16" s="283">
        <f t="shared" si="5"/>
        <v>40064.200000000004</v>
      </c>
    </row>
    <row r="17" spans="1:19" ht="24.95" customHeight="1">
      <c r="A17" s="284" t="s">
        <v>106</v>
      </c>
      <c r="B17" s="285" t="s">
        <v>20</v>
      </c>
      <c r="C17" s="286" t="s">
        <v>288</v>
      </c>
      <c r="D17" s="279">
        <v>88786</v>
      </c>
      <c r="E17" s="279">
        <v>2492</v>
      </c>
      <c r="F17" s="279">
        <v>15784</v>
      </c>
      <c r="G17" s="279">
        <v>4477</v>
      </c>
      <c r="H17" s="279">
        <v>49551</v>
      </c>
      <c r="I17" s="279">
        <v>16482</v>
      </c>
      <c r="J17" s="279">
        <f t="shared" si="0"/>
        <v>69812</v>
      </c>
      <c r="K17" s="470">
        <v>6.9000000000000006E-2</v>
      </c>
      <c r="L17" s="470">
        <v>0.23899999999999999</v>
      </c>
      <c r="M17" s="471">
        <v>0.19600000000000001</v>
      </c>
      <c r="N17" s="282">
        <f t="shared" si="1"/>
        <v>171.94800000000001</v>
      </c>
      <c r="O17" s="283">
        <f t="shared" si="2"/>
        <v>1089.096</v>
      </c>
      <c r="P17" s="283">
        <f t="shared" si="2"/>
        <v>1070.0029999999999</v>
      </c>
      <c r="Q17" s="283">
        <f t="shared" si="3"/>
        <v>11842.689</v>
      </c>
      <c r="R17" s="283">
        <f t="shared" si="4"/>
        <v>12912.692000000001</v>
      </c>
      <c r="S17" s="283">
        <f t="shared" si="5"/>
        <v>13683.152</v>
      </c>
    </row>
    <row r="18" spans="1:19" ht="24.95" customHeight="1">
      <c r="A18" s="284" t="s">
        <v>51</v>
      </c>
      <c r="B18" s="285" t="s">
        <v>14</v>
      </c>
      <c r="C18" s="286" t="s">
        <v>288</v>
      </c>
      <c r="D18" s="279">
        <v>192434</v>
      </c>
      <c r="E18" s="279">
        <v>7147</v>
      </c>
      <c r="F18" s="279">
        <v>41984</v>
      </c>
      <c r="G18" s="279">
        <v>7536</v>
      </c>
      <c r="H18" s="279">
        <v>111278</v>
      </c>
      <c r="I18" s="279">
        <v>24489</v>
      </c>
      <c r="J18" s="279">
        <f t="shared" si="0"/>
        <v>160798</v>
      </c>
      <c r="K18" s="470">
        <v>7.2000000000000008E-2</v>
      </c>
      <c r="L18" s="470">
        <v>0.20499999999999999</v>
      </c>
      <c r="M18" s="471">
        <v>0.16399999999999998</v>
      </c>
      <c r="N18" s="282">
        <f t="shared" si="1"/>
        <v>514.58400000000006</v>
      </c>
      <c r="O18" s="283">
        <f t="shared" si="2"/>
        <v>3022.8480000000004</v>
      </c>
      <c r="P18" s="283">
        <f t="shared" si="2"/>
        <v>1544.8799999999999</v>
      </c>
      <c r="Q18" s="283">
        <f t="shared" si="3"/>
        <v>22811.989999999998</v>
      </c>
      <c r="R18" s="283">
        <f t="shared" si="4"/>
        <v>24356.87</v>
      </c>
      <c r="S18" s="283">
        <f t="shared" si="5"/>
        <v>26370.871999999996</v>
      </c>
    </row>
    <row r="19" spans="1:19" ht="24.95" customHeight="1">
      <c r="A19" s="284" t="s">
        <v>128</v>
      </c>
      <c r="B19" s="285" t="s">
        <v>295</v>
      </c>
      <c r="C19" s="286" t="s">
        <v>288</v>
      </c>
      <c r="D19" s="279">
        <v>82241</v>
      </c>
      <c r="E19" s="279">
        <v>2322</v>
      </c>
      <c r="F19" s="279">
        <v>14695</v>
      </c>
      <c r="G19" s="279">
        <v>3278</v>
      </c>
      <c r="H19" s="279">
        <v>47124</v>
      </c>
      <c r="I19" s="279">
        <v>14822</v>
      </c>
      <c r="J19" s="279">
        <f t="shared" si="0"/>
        <v>65097</v>
      </c>
      <c r="K19" s="470">
        <v>6.3E-2</v>
      </c>
      <c r="L19" s="470">
        <v>0.24199999999999999</v>
      </c>
      <c r="M19" s="471">
        <v>0.19500000000000001</v>
      </c>
      <c r="N19" s="282">
        <f t="shared" si="1"/>
        <v>146.286</v>
      </c>
      <c r="O19" s="283">
        <f t="shared" si="2"/>
        <v>925.78499999999997</v>
      </c>
      <c r="P19" s="283">
        <f t="shared" si="2"/>
        <v>793.27599999999995</v>
      </c>
      <c r="Q19" s="283">
        <f t="shared" si="3"/>
        <v>11404.008</v>
      </c>
      <c r="R19" s="283">
        <f t="shared" si="4"/>
        <v>12197.284</v>
      </c>
      <c r="S19" s="283">
        <f t="shared" si="5"/>
        <v>12693.915000000001</v>
      </c>
    </row>
    <row r="20" spans="1:19" ht="24.95" customHeight="1">
      <c r="A20" s="284" t="s">
        <v>76</v>
      </c>
      <c r="B20" s="285" t="s">
        <v>482</v>
      </c>
      <c r="C20" s="286" t="s">
        <v>289</v>
      </c>
      <c r="D20" s="279">
        <v>10380</v>
      </c>
      <c r="E20" s="279">
        <v>292</v>
      </c>
      <c r="F20" s="279">
        <v>1975</v>
      </c>
      <c r="G20" s="279">
        <v>385</v>
      </c>
      <c r="H20" s="279">
        <v>6137</v>
      </c>
      <c r="I20" s="279">
        <v>1591</v>
      </c>
      <c r="J20" s="279">
        <f t="shared" si="0"/>
        <v>8497</v>
      </c>
      <c r="K20" s="470">
        <v>8.5999999999999993E-2</v>
      </c>
      <c r="L20" s="470">
        <v>0.187</v>
      </c>
      <c r="M20" s="471">
        <v>0.157</v>
      </c>
      <c r="N20" s="282">
        <f t="shared" si="1"/>
        <v>25.111999999999998</v>
      </c>
      <c r="O20" s="283">
        <f t="shared" si="2"/>
        <v>169.85</v>
      </c>
      <c r="P20" s="283">
        <f t="shared" si="2"/>
        <v>71.995000000000005</v>
      </c>
      <c r="Q20" s="283">
        <f t="shared" si="3"/>
        <v>1147.6189999999999</v>
      </c>
      <c r="R20" s="283">
        <f t="shared" si="4"/>
        <v>1219.614</v>
      </c>
      <c r="S20" s="283">
        <f t="shared" si="5"/>
        <v>1334.029</v>
      </c>
    </row>
    <row r="21" spans="1:19" ht="24.95" customHeight="1">
      <c r="A21" s="284" t="s">
        <v>70</v>
      </c>
      <c r="B21" s="285" t="s">
        <v>482</v>
      </c>
      <c r="C21" s="286" t="s">
        <v>289</v>
      </c>
      <c r="D21" s="279">
        <v>70911</v>
      </c>
      <c r="E21" s="279">
        <v>1871</v>
      </c>
      <c r="F21" s="279">
        <v>10737</v>
      </c>
      <c r="G21" s="279">
        <v>2197</v>
      </c>
      <c r="H21" s="279">
        <v>40243</v>
      </c>
      <c r="I21" s="279">
        <v>15863</v>
      </c>
      <c r="J21" s="279">
        <f t="shared" si="0"/>
        <v>53177</v>
      </c>
      <c r="K21" s="470">
        <v>7.6999999999999999E-2</v>
      </c>
      <c r="L21" s="470">
        <v>0.22399999999999998</v>
      </c>
      <c r="M21" s="471">
        <v>0.188</v>
      </c>
      <c r="N21" s="282">
        <f t="shared" si="1"/>
        <v>144.06700000000001</v>
      </c>
      <c r="O21" s="283">
        <f t="shared" si="2"/>
        <v>826.74900000000002</v>
      </c>
      <c r="P21" s="283">
        <f t="shared" si="2"/>
        <v>492.12799999999993</v>
      </c>
      <c r="Q21" s="283">
        <f t="shared" si="3"/>
        <v>9014.4319999999989</v>
      </c>
      <c r="R21" s="283">
        <f t="shared" si="4"/>
        <v>9506.56</v>
      </c>
      <c r="S21" s="283">
        <f t="shared" si="5"/>
        <v>9997.2759999999998</v>
      </c>
    </row>
    <row r="22" spans="1:19" ht="24.95" customHeight="1">
      <c r="A22" s="284" t="s">
        <v>52</v>
      </c>
      <c r="B22" s="285" t="s">
        <v>14</v>
      </c>
      <c r="C22" s="286" t="s">
        <v>289</v>
      </c>
      <c r="D22" s="279">
        <v>23806</v>
      </c>
      <c r="E22" s="279">
        <v>616</v>
      </c>
      <c r="F22" s="279">
        <v>3790</v>
      </c>
      <c r="G22" s="279">
        <v>767</v>
      </c>
      <c r="H22" s="279">
        <v>14179</v>
      </c>
      <c r="I22" s="279">
        <v>4454</v>
      </c>
      <c r="J22" s="279">
        <f t="shared" si="0"/>
        <v>18736</v>
      </c>
      <c r="K22" s="470">
        <v>7.0000000000000007E-2</v>
      </c>
      <c r="L22" s="470">
        <v>0.20499999999999999</v>
      </c>
      <c r="M22" s="471">
        <v>0.17</v>
      </c>
      <c r="N22" s="282">
        <f t="shared" si="1"/>
        <v>43.120000000000005</v>
      </c>
      <c r="O22" s="283">
        <f t="shared" si="2"/>
        <v>265.3</v>
      </c>
      <c r="P22" s="283">
        <f t="shared" si="2"/>
        <v>157.23499999999999</v>
      </c>
      <c r="Q22" s="283">
        <f t="shared" si="3"/>
        <v>2906.6949999999997</v>
      </c>
      <c r="R22" s="283">
        <f t="shared" si="4"/>
        <v>3063.93</v>
      </c>
      <c r="S22" s="283">
        <f t="shared" si="5"/>
        <v>3185.1200000000003</v>
      </c>
    </row>
    <row r="23" spans="1:19" ht="24.95" customHeight="1">
      <c r="A23" s="284" t="s">
        <v>107</v>
      </c>
      <c r="B23" s="285" t="s">
        <v>20</v>
      </c>
      <c r="C23" s="286" t="s">
        <v>288</v>
      </c>
      <c r="D23" s="279">
        <v>155477</v>
      </c>
      <c r="E23" s="279">
        <v>5123</v>
      </c>
      <c r="F23" s="279">
        <v>29971</v>
      </c>
      <c r="G23" s="279">
        <v>6206</v>
      </c>
      <c r="H23" s="279">
        <v>88721</v>
      </c>
      <c r="I23" s="279">
        <v>25456</v>
      </c>
      <c r="J23" s="279">
        <f t="shared" si="0"/>
        <v>124898</v>
      </c>
      <c r="K23" s="470">
        <v>7.0000000000000007E-2</v>
      </c>
      <c r="L23" s="470">
        <v>0.22899999999999998</v>
      </c>
      <c r="M23" s="471">
        <v>0.184</v>
      </c>
      <c r="N23" s="282">
        <f t="shared" si="1"/>
        <v>358.61</v>
      </c>
      <c r="O23" s="283">
        <f t="shared" si="2"/>
        <v>2097.9700000000003</v>
      </c>
      <c r="P23" s="283">
        <f t="shared" si="2"/>
        <v>1421.174</v>
      </c>
      <c r="Q23" s="283">
        <f t="shared" si="3"/>
        <v>20317.108999999997</v>
      </c>
      <c r="R23" s="283">
        <f t="shared" si="4"/>
        <v>21738.282999999996</v>
      </c>
      <c r="S23" s="283">
        <f t="shared" si="5"/>
        <v>22981.232</v>
      </c>
    </row>
    <row r="24" spans="1:19" ht="24.95" customHeight="1">
      <c r="A24" s="284" t="s">
        <v>53</v>
      </c>
      <c r="B24" s="285" t="s">
        <v>14</v>
      </c>
      <c r="C24" s="286" t="s">
        <v>288</v>
      </c>
      <c r="D24" s="279">
        <v>69856</v>
      </c>
      <c r="E24" s="279">
        <v>1935</v>
      </c>
      <c r="F24" s="279">
        <v>12037</v>
      </c>
      <c r="G24" s="279">
        <v>2058</v>
      </c>
      <c r="H24" s="279">
        <v>37914</v>
      </c>
      <c r="I24" s="279">
        <v>15912</v>
      </c>
      <c r="J24" s="279">
        <f t="shared" si="0"/>
        <v>52009</v>
      </c>
      <c r="K24" s="470">
        <v>8.900000000000001E-2</v>
      </c>
      <c r="L24" s="470">
        <v>0.23199999999999998</v>
      </c>
      <c r="M24" s="471">
        <v>0.193</v>
      </c>
      <c r="N24" s="282">
        <f t="shared" si="1"/>
        <v>172.21500000000003</v>
      </c>
      <c r="O24" s="283">
        <f t="shared" si="2"/>
        <v>1071.2930000000001</v>
      </c>
      <c r="P24" s="283">
        <f t="shared" si="2"/>
        <v>477.45599999999996</v>
      </c>
      <c r="Q24" s="283">
        <f t="shared" si="3"/>
        <v>8796.0479999999989</v>
      </c>
      <c r="R24" s="283">
        <f t="shared" si="4"/>
        <v>9273.503999999999</v>
      </c>
      <c r="S24" s="283">
        <f t="shared" si="5"/>
        <v>10037.737000000001</v>
      </c>
    </row>
    <row r="25" spans="1:19" ht="24.95" customHeight="1">
      <c r="A25" s="284" t="s">
        <v>129</v>
      </c>
      <c r="B25" s="285" t="s">
        <v>295</v>
      </c>
      <c r="C25" s="286" t="s">
        <v>289</v>
      </c>
      <c r="D25" s="279">
        <v>27608</v>
      </c>
      <c r="E25" s="279">
        <v>693</v>
      </c>
      <c r="F25" s="279">
        <v>4253</v>
      </c>
      <c r="G25" s="279">
        <v>849</v>
      </c>
      <c r="H25" s="279">
        <v>14242</v>
      </c>
      <c r="I25" s="279">
        <v>7571</v>
      </c>
      <c r="J25" s="279">
        <f t="shared" si="0"/>
        <v>19344</v>
      </c>
      <c r="K25" s="470">
        <v>9.1999999999999998E-2</v>
      </c>
      <c r="L25" s="470">
        <v>0.26400000000000001</v>
      </c>
      <c r="M25" s="471">
        <v>0.221</v>
      </c>
      <c r="N25" s="282">
        <f t="shared" si="1"/>
        <v>63.756</v>
      </c>
      <c r="O25" s="283">
        <f t="shared" si="2"/>
        <v>391.27600000000001</v>
      </c>
      <c r="P25" s="283">
        <f t="shared" si="2"/>
        <v>224.13600000000002</v>
      </c>
      <c r="Q25" s="283">
        <f t="shared" si="3"/>
        <v>3759.8880000000004</v>
      </c>
      <c r="R25" s="283">
        <f t="shared" si="4"/>
        <v>3984.0240000000003</v>
      </c>
      <c r="S25" s="283">
        <f t="shared" si="5"/>
        <v>4275.0240000000003</v>
      </c>
    </row>
    <row r="26" spans="1:19" ht="24.95" customHeight="1">
      <c r="A26" s="284" t="s">
        <v>77</v>
      </c>
      <c r="B26" s="285" t="s">
        <v>482</v>
      </c>
      <c r="C26" s="286" t="s">
        <v>289</v>
      </c>
      <c r="D26" s="279">
        <v>14884</v>
      </c>
      <c r="E26" s="279">
        <v>462</v>
      </c>
      <c r="F26" s="279">
        <v>2662</v>
      </c>
      <c r="G26" s="279">
        <v>535</v>
      </c>
      <c r="H26" s="279">
        <v>7915</v>
      </c>
      <c r="I26" s="279">
        <v>3310</v>
      </c>
      <c r="J26" s="279">
        <f t="shared" si="0"/>
        <v>11112</v>
      </c>
      <c r="K26" s="470">
        <v>7.0999999999999994E-2</v>
      </c>
      <c r="L26" s="470">
        <v>0.221</v>
      </c>
      <c r="M26" s="471">
        <v>0.18</v>
      </c>
      <c r="N26" s="282">
        <f t="shared" si="1"/>
        <v>32.802</v>
      </c>
      <c r="O26" s="283">
        <f t="shared" si="2"/>
        <v>189.00199999999998</v>
      </c>
      <c r="P26" s="283">
        <f t="shared" si="2"/>
        <v>118.235</v>
      </c>
      <c r="Q26" s="283">
        <f t="shared" si="3"/>
        <v>1749.2149999999999</v>
      </c>
      <c r="R26" s="283">
        <f t="shared" si="4"/>
        <v>1867.4499999999998</v>
      </c>
      <c r="S26" s="283">
        <f t="shared" si="5"/>
        <v>2000.1599999999999</v>
      </c>
    </row>
    <row r="27" spans="1:19" ht="24.95" customHeight="1">
      <c r="A27" s="284" t="s">
        <v>130</v>
      </c>
      <c r="B27" s="285" t="s">
        <v>295</v>
      </c>
      <c r="C27" s="286" t="s">
        <v>289</v>
      </c>
      <c r="D27" s="279">
        <v>11007</v>
      </c>
      <c r="E27" s="279">
        <v>277</v>
      </c>
      <c r="F27" s="279">
        <v>1662</v>
      </c>
      <c r="G27" s="279">
        <v>335</v>
      </c>
      <c r="H27" s="279">
        <v>5646</v>
      </c>
      <c r="I27" s="279">
        <v>3087</v>
      </c>
      <c r="J27" s="279">
        <f t="shared" si="0"/>
        <v>7643</v>
      </c>
      <c r="K27" s="470">
        <v>0.10199999999999999</v>
      </c>
      <c r="L27" s="470">
        <v>0.25900000000000001</v>
      </c>
      <c r="M27" s="471">
        <v>0.21899999999999997</v>
      </c>
      <c r="N27" s="282">
        <f t="shared" si="1"/>
        <v>28.253999999999998</v>
      </c>
      <c r="O27" s="283">
        <f t="shared" si="2"/>
        <v>169.524</v>
      </c>
      <c r="P27" s="283">
        <f t="shared" si="2"/>
        <v>86.765000000000001</v>
      </c>
      <c r="Q27" s="283">
        <f t="shared" si="3"/>
        <v>1462.3140000000001</v>
      </c>
      <c r="R27" s="283">
        <f t="shared" si="4"/>
        <v>1549.0790000000002</v>
      </c>
      <c r="S27" s="283">
        <f t="shared" si="5"/>
        <v>1673.8169999999998</v>
      </c>
    </row>
    <row r="28" spans="1:19" ht="24.95" customHeight="1">
      <c r="A28" s="284" t="s">
        <v>108</v>
      </c>
      <c r="B28" s="285" t="s">
        <v>20</v>
      </c>
      <c r="C28" s="286" t="s">
        <v>289</v>
      </c>
      <c r="D28" s="279">
        <v>97071</v>
      </c>
      <c r="E28" s="279">
        <v>3045</v>
      </c>
      <c r="F28" s="279">
        <v>18151</v>
      </c>
      <c r="G28" s="279">
        <v>4338</v>
      </c>
      <c r="H28" s="279">
        <v>54651</v>
      </c>
      <c r="I28" s="279">
        <v>16886</v>
      </c>
      <c r="J28" s="279">
        <f t="shared" si="0"/>
        <v>77140</v>
      </c>
      <c r="K28" s="470">
        <v>5.2999999999999999E-2</v>
      </c>
      <c r="L28" s="470">
        <v>0.20699999999999999</v>
      </c>
      <c r="M28" s="471">
        <v>0.16500000000000001</v>
      </c>
      <c r="N28" s="282">
        <f t="shared" si="1"/>
        <v>161.38499999999999</v>
      </c>
      <c r="O28" s="283">
        <f t="shared" si="2"/>
        <v>962.00299999999993</v>
      </c>
      <c r="P28" s="283">
        <f t="shared" si="2"/>
        <v>897.96600000000001</v>
      </c>
      <c r="Q28" s="283">
        <f t="shared" si="3"/>
        <v>11312.757</v>
      </c>
      <c r="R28" s="283">
        <f t="shared" si="4"/>
        <v>12210.723</v>
      </c>
      <c r="S28" s="283">
        <f t="shared" si="5"/>
        <v>12728.1</v>
      </c>
    </row>
    <row r="29" spans="1:19" ht="24.95" customHeight="1">
      <c r="A29" s="284" t="s">
        <v>94</v>
      </c>
      <c r="B29" s="285" t="s">
        <v>18</v>
      </c>
      <c r="C29" s="286" t="s">
        <v>289</v>
      </c>
      <c r="D29" s="279">
        <v>57732</v>
      </c>
      <c r="E29" s="279">
        <v>1839</v>
      </c>
      <c r="F29" s="279">
        <v>10816</v>
      </c>
      <c r="G29" s="279">
        <v>2301</v>
      </c>
      <c r="H29" s="279">
        <v>32662</v>
      </c>
      <c r="I29" s="279">
        <v>10114</v>
      </c>
      <c r="J29" s="279">
        <f t="shared" si="0"/>
        <v>45779</v>
      </c>
      <c r="K29" s="470">
        <v>7.2999999999999995E-2</v>
      </c>
      <c r="L29" s="470">
        <v>0.25900000000000001</v>
      </c>
      <c r="M29" s="471">
        <v>0.20499999999999999</v>
      </c>
      <c r="N29" s="282">
        <f t="shared" si="1"/>
        <v>134.24699999999999</v>
      </c>
      <c r="O29" s="283">
        <f t="shared" si="2"/>
        <v>789.56799999999998</v>
      </c>
      <c r="P29" s="283">
        <f t="shared" si="2"/>
        <v>595.95900000000006</v>
      </c>
      <c r="Q29" s="283">
        <f t="shared" si="3"/>
        <v>8459.4580000000005</v>
      </c>
      <c r="R29" s="283">
        <f t="shared" si="4"/>
        <v>9055.4170000000013</v>
      </c>
      <c r="S29" s="283">
        <f t="shared" si="5"/>
        <v>9384.6949999999997</v>
      </c>
    </row>
    <row r="30" spans="1:19" ht="24.95" customHeight="1">
      <c r="A30" s="284" t="s">
        <v>78</v>
      </c>
      <c r="B30" s="285" t="s">
        <v>482</v>
      </c>
      <c r="C30" s="286" t="s">
        <v>288</v>
      </c>
      <c r="D30" s="279">
        <v>104521</v>
      </c>
      <c r="E30" s="279">
        <v>4524</v>
      </c>
      <c r="F30" s="279">
        <v>21472</v>
      </c>
      <c r="G30" s="279">
        <v>4704</v>
      </c>
      <c r="H30" s="279">
        <v>56449</v>
      </c>
      <c r="I30" s="279">
        <v>17372</v>
      </c>
      <c r="J30" s="279">
        <f t="shared" si="0"/>
        <v>82625</v>
      </c>
      <c r="K30" s="470">
        <v>6.5000000000000002E-2</v>
      </c>
      <c r="L30" s="470">
        <v>0.21199999999999999</v>
      </c>
      <c r="M30" s="471">
        <v>0.16899999999999998</v>
      </c>
      <c r="N30" s="282">
        <f t="shared" si="1"/>
        <v>294.06</v>
      </c>
      <c r="O30" s="283">
        <f t="shared" si="2"/>
        <v>1395.68</v>
      </c>
      <c r="P30" s="283">
        <f t="shared" si="2"/>
        <v>997.24799999999993</v>
      </c>
      <c r="Q30" s="283">
        <f t="shared" si="3"/>
        <v>11967.188</v>
      </c>
      <c r="R30" s="283">
        <f t="shared" si="4"/>
        <v>12964.436</v>
      </c>
      <c r="S30" s="283">
        <f t="shared" si="5"/>
        <v>13963.624999999998</v>
      </c>
    </row>
    <row r="31" spans="1:19" ht="24.95" customHeight="1">
      <c r="A31" s="284" t="s">
        <v>46</v>
      </c>
      <c r="B31" s="285" t="s">
        <v>13</v>
      </c>
      <c r="C31" s="286" t="s">
        <v>288</v>
      </c>
      <c r="D31" s="279">
        <v>336304</v>
      </c>
      <c r="E31" s="279">
        <v>16032</v>
      </c>
      <c r="F31" s="279">
        <v>73756</v>
      </c>
      <c r="G31" s="279">
        <v>15648</v>
      </c>
      <c r="H31" s="279">
        <v>193320</v>
      </c>
      <c r="I31" s="279">
        <v>37548</v>
      </c>
      <c r="J31" s="279">
        <f t="shared" si="0"/>
        <v>282724</v>
      </c>
      <c r="K31" s="470">
        <v>5.5E-2</v>
      </c>
      <c r="L31" s="470">
        <v>0.2</v>
      </c>
      <c r="M31" s="471">
        <v>0.157</v>
      </c>
      <c r="N31" s="282">
        <f t="shared" si="1"/>
        <v>881.76</v>
      </c>
      <c r="O31" s="283">
        <f t="shared" si="2"/>
        <v>4056.58</v>
      </c>
      <c r="P31" s="283">
        <f t="shared" si="2"/>
        <v>3129.6000000000004</v>
      </c>
      <c r="Q31" s="283">
        <f t="shared" si="3"/>
        <v>38664</v>
      </c>
      <c r="R31" s="283">
        <f t="shared" si="4"/>
        <v>41793.599999999999</v>
      </c>
      <c r="S31" s="283">
        <f t="shared" si="5"/>
        <v>44387.667999999998</v>
      </c>
    </row>
    <row r="32" spans="1:19" ht="24.95" customHeight="1">
      <c r="A32" s="284" t="s">
        <v>79</v>
      </c>
      <c r="B32" s="285" t="s">
        <v>482</v>
      </c>
      <c r="C32" s="286" t="s">
        <v>288</v>
      </c>
      <c r="D32" s="279">
        <v>25171</v>
      </c>
      <c r="E32" s="279">
        <v>752</v>
      </c>
      <c r="F32" s="279">
        <v>4598</v>
      </c>
      <c r="G32" s="279">
        <v>944</v>
      </c>
      <c r="H32" s="279">
        <v>15093</v>
      </c>
      <c r="I32" s="279">
        <v>3784</v>
      </c>
      <c r="J32" s="279">
        <f t="shared" si="0"/>
        <v>20635</v>
      </c>
      <c r="K32" s="470">
        <v>8.8000000000000009E-2</v>
      </c>
      <c r="L32" s="470">
        <v>0.21</v>
      </c>
      <c r="M32" s="471">
        <v>0.17800000000000002</v>
      </c>
      <c r="N32" s="282">
        <f t="shared" si="1"/>
        <v>66.176000000000002</v>
      </c>
      <c r="O32" s="283">
        <f t="shared" si="2"/>
        <v>404.62400000000002</v>
      </c>
      <c r="P32" s="283">
        <f t="shared" si="2"/>
        <v>198.23999999999998</v>
      </c>
      <c r="Q32" s="283">
        <f t="shared" si="3"/>
        <v>3169.5299999999997</v>
      </c>
      <c r="R32" s="283">
        <f t="shared" si="4"/>
        <v>3367.7699999999995</v>
      </c>
      <c r="S32" s="283">
        <f t="shared" si="5"/>
        <v>3673.03</v>
      </c>
    </row>
    <row r="33" spans="1:19" ht="24.95" customHeight="1">
      <c r="A33" s="284" t="s">
        <v>80</v>
      </c>
      <c r="B33" s="285" t="s">
        <v>482</v>
      </c>
      <c r="C33" s="286" t="s">
        <v>289</v>
      </c>
      <c r="D33" s="279">
        <v>36059</v>
      </c>
      <c r="E33" s="279">
        <v>1151</v>
      </c>
      <c r="F33" s="279">
        <v>5827</v>
      </c>
      <c r="G33" s="279">
        <v>899</v>
      </c>
      <c r="H33" s="279">
        <v>21363</v>
      </c>
      <c r="I33" s="279">
        <v>6819</v>
      </c>
      <c r="J33" s="279">
        <f t="shared" si="0"/>
        <v>28089</v>
      </c>
      <c r="K33" s="470">
        <v>0.1</v>
      </c>
      <c r="L33" s="470">
        <v>0.23800000000000002</v>
      </c>
      <c r="M33" s="471">
        <v>0.20399999999999999</v>
      </c>
      <c r="N33" s="282">
        <f t="shared" si="1"/>
        <v>115.10000000000001</v>
      </c>
      <c r="O33" s="283">
        <f t="shared" si="2"/>
        <v>582.70000000000005</v>
      </c>
      <c r="P33" s="283">
        <f t="shared" si="2"/>
        <v>213.96200000000002</v>
      </c>
      <c r="Q33" s="283">
        <f t="shared" si="3"/>
        <v>5084.3940000000002</v>
      </c>
      <c r="R33" s="283">
        <f t="shared" si="4"/>
        <v>5298.3560000000007</v>
      </c>
      <c r="S33" s="283">
        <f t="shared" si="5"/>
        <v>5730.1559999999999</v>
      </c>
    </row>
    <row r="34" spans="1:19" ht="24.95" customHeight="1">
      <c r="A34" s="284" t="s">
        <v>54</v>
      </c>
      <c r="B34" s="285" t="s">
        <v>14</v>
      </c>
      <c r="C34" s="286" t="s">
        <v>288</v>
      </c>
      <c r="D34" s="279">
        <v>164341</v>
      </c>
      <c r="E34" s="279">
        <v>5199</v>
      </c>
      <c r="F34" s="279">
        <v>31310</v>
      </c>
      <c r="G34" s="279">
        <v>5784</v>
      </c>
      <c r="H34" s="279">
        <v>94525</v>
      </c>
      <c r="I34" s="279">
        <v>27523</v>
      </c>
      <c r="J34" s="279">
        <f t="shared" si="0"/>
        <v>131619</v>
      </c>
      <c r="K34" s="470">
        <v>6.0999999999999999E-2</v>
      </c>
      <c r="L34" s="470">
        <v>0.21899999999999997</v>
      </c>
      <c r="M34" s="471">
        <v>0.17499999999999999</v>
      </c>
      <c r="N34" s="282">
        <f t="shared" si="1"/>
        <v>317.13900000000001</v>
      </c>
      <c r="O34" s="283">
        <f t="shared" si="2"/>
        <v>1909.9099999999999</v>
      </c>
      <c r="P34" s="283">
        <f t="shared" si="2"/>
        <v>1266.6959999999999</v>
      </c>
      <c r="Q34" s="283">
        <f t="shared" si="3"/>
        <v>20700.974999999999</v>
      </c>
      <c r="R34" s="283">
        <f t="shared" si="4"/>
        <v>21967.670999999998</v>
      </c>
      <c r="S34" s="283">
        <f t="shared" si="5"/>
        <v>23033.324999999997</v>
      </c>
    </row>
    <row r="35" spans="1:19" ht="24.95" customHeight="1">
      <c r="A35" s="284" t="s">
        <v>65</v>
      </c>
      <c r="B35" s="285" t="s">
        <v>15</v>
      </c>
      <c r="C35" s="286" t="s">
        <v>288</v>
      </c>
      <c r="D35" s="279">
        <v>41729</v>
      </c>
      <c r="E35" s="279">
        <v>1229</v>
      </c>
      <c r="F35" s="279">
        <v>7580</v>
      </c>
      <c r="G35" s="279">
        <v>1527</v>
      </c>
      <c r="H35" s="279">
        <v>23420</v>
      </c>
      <c r="I35" s="279">
        <v>7973</v>
      </c>
      <c r="J35" s="279">
        <f t="shared" si="0"/>
        <v>32527</v>
      </c>
      <c r="K35" s="470">
        <v>8.5999999999999993E-2</v>
      </c>
      <c r="L35" s="470">
        <v>0.22</v>
      </c>
      <c r="M35" s="471">
        <v>0.182</v>
      </c>
      <c r="N35" s="282">
        <f t="shared" si="1"/>
        <v>105.69399999999999</v>
      </c>
      <c r="O35" s="283">
        <f t="shared" si="2"/>
        <v>651.88</v>
      </c>
      <c r="P35" s="283">
        <f t="shared" si="2"/>
        <v>335.94</v>
      </c>
      <c r="Q35" s="283">
        <f t="shared" si="3"/>
        <v>5152.3999999999996</v>
      </c>
      <c r="R35" s="283">
        <f t="shared" si="4"/>
        <v>5488.3399999999992</v>
      </c>
      <c r="S35" s="283">
        <f t="shared" si="5"/>
        <v>5919.9139999999998</v>
      </c>
    </row>
    <row r="36" spans="1:19" ht="24.95" customHeight="1">
      <c r="A36" s="284" t="s">
        <v>95</v>
      </c>
      <c r="B36" s="285" t="s">
        <v>18</v>
      </c>
      <c r="C36" s="286" t="s">
        <v>289</v>
      </c>
      <c r="D36" s="279">
        <v>60742</v>
      </c>
      <c r="E36" s="279">
        <v>2216</v>
      </c>
      <c r="F36" s="279">
        <v>12552</v>
      </c>
      <c r="G36" s="279">
        <v>2373</v>
      </c>
      <c r="H36" s="279">
        <v>33525</v>
      </c>
      <c r="I36" s="279">
        <v>10076</v>
      </c>
      <c r="J36" s="279">
        <f t="shared" si="0"/>
        <v>48450</v>
      </c>
      <c r="K36" s="470">
        <v>0.10199999999999999</v>
      </c>
      <c r="L36" s="470">
        <v>0.33</v>
      </c>
      <c r="M36" s="471">
        <v>0.26200000000000001</v>
      </c>
      <c r="N36" s="282">
        <f t="shared" si="1"/>
        <v>226.03199999999998</v>
      </c>
      <c r="O36" s="283">
        <f t="shared" si="2"/>
        <v>1280.3039999999999</v>
      </c>
      <c r="P36" s="283">
        <f t="shared" si="2"/>
        <v>783.09</v>
      </c>
      <c r="Q36" s="283">
        <f t="shared" si="3"/>
        <v>11063.25</v>
      </c>
      <c r="R36" s="283">
        <f t="shared" si="4"/>
        <v>11846.34</v>
      </c>
      <c r="S36" s="283">
        <f t="shared" si="5"/>
        <v>12693.9</v>
      </c>
    </row>
    <row r="37" spans="1:19" ht="24.95" customHeight="1">
      <c r="A37" s="284" t="s">
        <v>47</v>
      </c>
      <c r="B37" s="285" t="s">
        <v>13</v>
      </c>
      <c r="C37" s="286" t="s">
        <v>288</v>
      </c>
      <c r="D37" s="279">
        <v>296492</v>
      </c>
      <c r="E37" s="279">
        <v>12519</v>
      </c>
      <c r="F37" s="279">
        <v>56030</v>
      </c>
      <c r="G37" s="279">
        <v>14040</v>
      </c>
      <c r="H37" s="279">
        <v>180105</v>
      </c>
      <c r="I37" s="279">
        <v>33798</v>
      </c>
      <c r="J37" s="279">
        <f t="shared" si="0"/>
        <v>250175</v>
      </c>
      <c r="K37" s="470">
        <v>6.9000000000000006E-2</v>
      </c>
      <c r="L37" s="470">
        <v>0.217</v>
      </c>
      <c r="M37" s="471">
        <v>0.17800000000000002</v>
      </c>
      <c r="N37" s="282">
        <f t="shared" si="1"/>
        <v>863.81100000000004</v>
      </c>
      <c r="O37" s="283">
        <f t="shared" si="2"/>
        <v>3866.07</v>
      </c>
      <c r="P37" s="283">
        <f t="shared" si="2"/>
        <v>3046.68</v>
      </c>
      <c r="Q37" s="283">
        <f t="shared" si="3"/>
        <v>39082.784999999996</v>
      </c>
      <c r="R37" s="283">
        <f t="shared" si="4"/>
        <v>42129.464999999997</v>
      </c>
      <c r="S37" s="283">
        <f t="shared" si="5"/>
        <v>44531.15</v>
      </c>
    </row>
    <row r="38" spans="1:19" ht="24.95" customHeight="1">
      <c r="A38" s="284" t="s">
        <v>96</v>
      </c>
      <c r="B38" s="285" t="s">
        <v>18</v>
      </c>
      <c r="C38" s="286" t="s">
        <v>288</v>
      </c>
      <c r="D38" s="279">
        <v>55467</v>
      </c>
      <c r="E38" s="279">
        <v>1765</v>
      </c>
      <c r="F38" s="279">
        <v>10972</v>
      </c>
      <c r="G38" s="279">
        <v>2205</v>
      </c>
      <c r="H38" s="279">
        <v>31039</v>
      </c>
      <c r="I38" s="279">
        <v>9486</v>
      </c>
      <c r="J38" s="279">
        <f t="shared" si="0"/>
        <v>44216</v>
      </c>
      <c r="K38" s="470">
        <v>5.0999999999999997E-2</v>
      </c>
      <c r="L38" s="470">
        <v>0.21899999999999997</v>
      </c>
      <c r="M38" s="471">
        <v>0.17199999999999999</v>
      </c>
      <c r="N38" s="282">
        <f t="shared" si="1"/>
        <v>90.015000000000001</v>
      </c>
      <c r="O38" s="283">
        <f t="shared" si="2"/>
        <v>559.572</v>
      </c>
      <c r="P38" s="283">
        <f t="shared" si="2"/>
        <v>482.89499999999992</v>
      </c>
      <c r="Q38" s="283">
        <f t="shared" si="3"/>
        <v>6797.5409999999993</v>
      </c>
      <c r="R38" s="283">
        <f t="shared" si="4"/>
        <v>7280.4359999999988</v>
      </c>
      <c r="S38" s="283">
        <f t="shared" si="5"/>
        <v>7605.1519999999991</v>
      </c>
    </row>
    <row r="39" spans="1:19" ht="24.95" customHeight="1">
      <c r="A39" s="284" t="s">
        <v>66</v>
      </c>
      <c r="B39" s="285" t="s">
        <v>15</v>
      </c>
      <c r="C39" s="286" t="s">
        <v>288</v>
      </c>
      <c r="D39" s="279">
        <v>365397</v>
      </c>
      <c r="E39" s="279">
        <v>13358</v>
      </c>
      <c r="F39" s="279">
        <v>72798</v>
      </c>
      <c r="G39" s="279">
        <v>15135</v>
      </c>
      <c r="H39" s="279">
        <v>210393</v>
      </c>
      <c r="I39" s="279">
        <v>53713</v>
      </c>
      <c r="J39" s="279">
        <f t="shared" si="0"/>
        <v>298326</v>
      </c>
      <c r="K39" s="470">
        <v>0.06</v>
      </c>
      <c r="L39" s="470">
        <v>0.22</v>
      </c>
      <c r="M39" s="471">
        <v>0.17399999999999999</v>
      </c>
      <c r="N39" s="282">
        <f t="shared" si="1"/>
        <v>801.48</v>
      </c>
      <c r="O39" s="283">
        <f t="shared" si="2"/>
        <v>4367.88</v>
      </c>
      <c r="P39" s="283">
        <f t="shared" si="2"/>
        <v>3329.7</v>
      </c>
      <c r="Q39" s="283">
        <f t="shared" si="3"/>
        <v>46286.46</v>
      </c>
      <c r="R39" s="283">
        <f t="shared" si="4"/>
        <v>49616.159999999996</v>
      </c>
      <c r="S39" s="283">
        <f t="shared" si="5"/>
        <v>51908.723999999995</v>
      </c>
    </row>
    <row r="40" spans="1:19" ht="24.95" customHeight="1">
      <c r="A40" s="284" t="s">
        <v>55</v>
      </c>
      <c r="B40" s="285" t="s">
        <v>14</v>
      </c>
      <c r="C40" s="286" t="s">
        <v>288</v>
      </c>
      <c r="D40" s="279">
        <v>64185</v>
      </c>
      <c r="E40" s="279">
        <v>2015</v>
      </c>
      <c r="F40" s="279">
        <v>12547</v>
      </c>
      <c r="G40" s="279">
        <v>2494</v>
      </c>
      <c r="H40" s="279">
        <v>37215</v>
      </c>
      <c r="I40" s="279">
        <v>9914</v>
      </c>
      <c r="J40" s="279">
        <f t="shared" si="0"/>
        <v>52256</v>
      </c>
      <c r="K40" s="470">
        <v>8.199999999999999E-2</v>
      </c>
      <c r="L40" s="470">
        <v>0.23699999999999999</v>
      </c>
      <c r="M40" s="471">
        <v>0.193</v>
      </c>
      <c r="N40" s="282">
        <f t="shared" si="1"/>
        <v>165.23</v>
      </c>
      <c r="O40" s="283">
        <f t="shared" si="2"/>
        <v>1028.8539999999998</v>
      </c>
      <c r="P40" s="283">
        <f t="shared" si="2"/>
        <v>591.07799999999997</v>
      </c>
      <c r="Q40" s="283">
        <f t="shared" si="3"/>
        <v>8819.9549999999999</v>
      </c>
      <c r="R40" s="283">
        <f t="shared" si="4"/>
        <v>9411.0329999999994</v>
      </c>
      <c r="S40" s="283">
        <f t="shared" si="5"/>
        <v>10085.407999999999</v>
      </c>
    </row>
    <row r="41" spans="1:19" ht="24.95" customHeight="1">
      <c r="A41" s="284" t="s">
        <v>109</v>
      </c>
      <c r="B41" s="285" t="s">
        <v>20</v>
      </c>
      <c r="C41" s="286" t="s">
        <v>288</v>
      </c>
      <c r="D41" s="279">
        <v>212238</v>
      </c>
      <c r="E41" s="279">
        <v>7224</v>
      </c>
      <c r="F41" s="279">
        <v>41313</v>
      </c>
      <c r="G41" s="279">
        <v>8196</v>
      </c>
      <c r="H41" s="279">
        <v>123415</v>
      </c>
      <c r="I41" s="279">
        <v>32090</v>
      </c>
      <c r="J41" s="279">
        <f t="shared" si="0"/>
        <v>172924</v>
      </c>
      <c r="K41" s="470">
        <v>7.0999999999999994E-2</v>
      </c>
      <c r="L41" s="470">
        <v>0.223</v>
      </c>
      <c r="M41" s="471">
        <v>0.18100000000000002</v>
      </c>
      <c r="N41" s="282">
        <f t="shared" si="1"/>
        <v>512.904</v>
      </c>
      <c r="O41" s="283">
        <f t="shared" si="2"/>
        <v>2933.223</v>
      </c>
      <c r="P41" s="283">
        <f t="shared" si="2"/>
        <v>1827.7080000000001</v>
      </c>
      <c r="Q41" s="283">
        <f t="shared" si="3"/>
        <v>27521.545000000002</v>
      </c>
      <c r="R41" s="283">
        <f t="shared" si="4"/>
        <v>29349.253000000001</v>
      </c>
      <c r="S41" s="283">
        <f t="shared" si="5"/>
        <v>31299.244000000002</v>
      </c>
    </row>
    <row r="42" spans="1:19" ht="24.95" customHeight="1">
      <c r="A42" s="284" t="s">
        <v>81</v>
      </c>
      <c r="B42" s="285" t="s">
        <v>482</v>
      </c>
      <c r="C42" s="286" t="s">
        <v>288</v>
      </c>
      <c r="D42" s="279">
        <v>11470</v>
      </c>
      <c r="E42" s="279">
        <v>310</v>
      </c>
      <c r="F42" s="279">
        <v>1965</v>
      </c>
      <c r="G42" s="279">
        <v>470</v>
      </c>
      <c r="H42" s="279">
        <v>6659</v>
      </c>
      <c r="I42" s="279">
        <v>2066</v>
      </c>
      <c r="J42" s="279">
        <f t="shared" si="0"/>
        <v>9094</v>
      </c>
      <c r="K42" s="470">
        <v>0.08</v>
      </c>
      <c r="L42" s="470">
        <v>0.19899999999999998</v>
      </c>
      <c r="M42" s="471">
        <v>0.16699999999999998</v>
      </c>
      <c r="N42" s="282">
        <f t="shared" si="1"/>
        <v>24.8</v>
      </c>
      <c r="O42" s="283">
        <f t="shared" si="2"/>
        <v>157.20000000000002</v>
      </c>
      <c r="P42" s="283">
        <f t="shared" si="2"/>
        <v>93.529999999999987</v>
      </c>
      <c r="Q42" s="283">
        <f t="shared" si="3"/>
        <v>1325.1409999999998</v>
      </c>
      <c r="R42" s="283">
        <f t="shared" si="4"/>
        <v>1418.6709999999998</v>
      </c>
      <c r="S42" s="283">
        <f t="shared" si="5"/>
        <v>1518.6979999999999</v>
      </c>
    </row>
    <row r="43" spans="1:19" ht="24.95" customHeight="1">
      <c r="A43" s="284" t="s">
        <v>131</v>
      </c>
      <c r="B43" s="285" t="s">
        <v>295</v>
      </c>
      <c r="C43" s="286" t="s">
        <v>289</v>
      </c>
      <c r="D43" s="279">
        <v>9057</v>
      </c>
      <c r="E43" s="279">
        <v>281</v>
      </c>
      <c r="F43" s="279">
        <v>1603</v>
      </c>
      <c r="G43" s="279">
        <v>330</v>
      </c>
      <c r="H43" s="279">
        <v>4782</v>
      </c>
      <c r="I43" s="279">
        <v>2061</v>
      </c>
      <c r="J43" s="279">
        <f t="shared" si="0"/>
        <v>6715</v>
      </c>
      <c r="K43" s="470">
        <v>9.0999999999999998E-2</v>
      </c>
      <c r="L43" s="470">
        <v>0.26899999999999996</v>
      </c>
      <c r="M43" s="471">
        <v>0.22</v>
      </c>
      <c r="N43" s="282">
        <f t="shared" si="1"/>
        <v>25.570999999999998</v>
      </c>
      <c r="O43" s="283">
        <f t="shared" si="2"/>
        <v>145.87299999999999</v>
      </c>
      <c r="P43" s="283">
        <f t="shared" si="2"/>
        <v>88.769999999999982</v>
      </c>
      <c r="Q43" s="283">
        <f t="shared" si="3"/>
        <v>1286.3579999999997</v>
      </c>
      <c r="R43" s="283">
        <f t="shared" si="4"/>
        <v>1375.1279999999997</v>
      </c>
      <c r="S43" s="283">
        <f t="shared" si="5"/>
        <v>1477.3</v>
      </c>
    </row>
    <row r="44" spans="1:19" ht="24.95" customHeight="1">
      <c r="A44" s="284" t="s">
        <v>56</v>
      </c>
      <c r="B44" s="285" t="s">
        <v>14</v>
      </c>
      <c r="C44" s="286" t="s">
        <v>289</v>
      </c>
      <c r="D44" s="279">
        <v>58108</v>
      </c>
      <c r="E44" s="279">
        <v>1596</v>
      </c>
      <c r="F44" s="279">
        <v>10205</v>
      </c>
      <c r="G44" s="279">
        <v>2542</v>
      </c>
      <c r="H44" s="279">
        <v>34848</v>
      </c>
      <c r="I44" s="279">
        <v>8917</v>
      </c>
      <c r="J44" s="279">
        <f t="shared" si="0"/>
        <v>47595</v>
      </c>
      <c r="K44" s="470">
        <v>6.9000000000000006E-2</v>
      </c>
      <c r="L44" s="470">
        <v>0.20100000000000001</v>
      </c>
      <c r="M44" s="471">
        <v>0.16500000000000001</v>
      </c>
      <c r="N44" s="282">
        <f t="shared" si="1"/>
        <v>110.12400000000001</v>
      </c>
      <c r="O44" s="283">
        <f t="shared" si="2"/>
        <v>704.1450000000001</v>
      </c>
      <c r="P44" s="283">
        <f t="shared" si="2"/>
        <v>510.94200000000001</v>
      </c>
      <c r="Q44" s="283">
        <f t="shared" si="3"/>
        <v>7004.4480000000003</v>
      </c>
      <c r="R44" s="283">
        <f t="shared" si="4"/>
        <v>7515.39</v>
      </c>
      <c r="S44" s="283">
        <f t="shared" si="5"/>
        <v>7853.1750000000002</v>
      </c>
    </row>
    <row r="45" spans="1:19" ht="24.95" customHeight="1">
      <c r="A45" s="284" t="s">
        <v>97</v>
      </c>
      <c r="B45" s="285" t="s">
        <v>18</v>
      </c>
      <c r="C45" s="286" t="s">
        <v>289</v>
      </c>
      <c r="D45" s="279">
        <v>21046</v>
      </c>
      <c r="E45" s="279">
        <v>602</v>
      </c>
      <c r="F45" s="279">
        <v>4038</v>
      </c>
      <c r="G45" s="279">
        <v>698</v>
      </c>
      <c r="H45" s="279">
        <v>12595</v>
      </c>
      <c r="I45" s="279">
        <v>3113</v>
      </c>
      <c r="J45" s="279">
        <f t="shared" si="0"/>
        <v>17331</v>
      </c>
      <c r="K45" s="470">
        <v>0.10099999999999999</v>
      </c>
      <c r="L45" s="470">
        <v>0.27399999999999997</v>
      </c>
      <c r="M45" s="471">
        <v>0.22399999999999998</v>
      </c>
      <c r="N45" s="282">
        <f t="shared" si="1"/>
        <v>60.801999999999992</v>
      </c>
      <c r="O45" s="283">
        <f t="shared" si="2"/>
        <v>407.83799999999997</v>
      </c>
      <c r="P45" s="283">
        <f t="shared" si="2"/>
        <v>191.25199999999998</v>
      </c>
      <c r="Q45" s="283">
        <f t="shared" si="3"/>
        <v>3451.0299999999997</v>
      </c>
      <c r="R45" s="283">
        <f t="shared" si="4"/>
        <v>3642.2819999999997</v>
      </c>
      <c r="S45" s="283">
        <f t="shared" si="5"/>
        <v>3882.1439999999998</v>
      </c>
    </row>
    <row r="46" spans="1:19" ht="24.95" customHeight="1">
      <c r="A46" s="284" t="s">
        <v>115</v>
      </c>
      <c r="B46" s="285" t="s">
        <v>21</v>
      </c>
      <c r="C46" s="286" t="s">
        <v>288</v>
      </c>
      <c r="D46" s="279">
        <v>518113</v>
      </c>
      <c r="E46" s="279">
        <v>17497</v>
      </c>
      <c r="F46" s="279">
        <v>97370</v>
      </c>
      <c r="G46" s="279">
        <v>26994</v>
      </c>
      <c r="H46" s="279">
        <v>303133</v>
      </c>
      <c r="I46" s="279">
        <v>73119</v>
      </c>
      <c r="J46" s="279">
        <f t="shared" si="0"/>
        <v>427497</v>
      </c>
      <c r="K46" s="470">
        <v>6.4000000000000001E-2</v>
      </c>
      <c r="L46" s="470">
        <v>0.22600000000000001</v>
      </c>
      <c r="M46" s="471">
        <v>0.18100000000000002</v>
      </c>
      <c r="N46" s="282">
        <f t="shared" si="1"/>
        <v>1119.808</v>
      </c>
      <c r="O46" s="283">
        <f t="shared" si="2"/>
        <v>6231.68</v>
      </c>
      <c r="P46" s="283">
        <f t="shared" si="2"/>
        <v>6100.6440000000002</v>
      </c>
      <c r="Q46" s="283">
        <f t="shared" si="3"/>
        <v>68508.058000000005</v>
      </c>
      <c r="R46" s="283">
        <f t="shared" si="4"/>
        <v>74608.702000000005</v>
      </c>
      <c r="S46" s="283">
        <f t="shared" si="5"/>
        <v>77376.957000000009</v>
      </c>
    </row>
    <row r="47" spans="1:19" ht="24.95" customHeight="1">
      <c r="A47" s="284" t="s">
        <v>57</v>
      </c>
      <c r="B47" s="285" t="s">
        <v>14</v>
      </c>
      <c r="C47" s="286" t="s">
        <v>289</v>
      </c>
      <c r="D47" s="279">
        <v>53105</v>
      </c>
      <c r="E47" s="279">
        <v>1587</v>
      </c>
      <c r="F47" s="279">
        <v>9848</v>
      </c>
      <c r="G47" s="279">
        <v>1803</v>
      </c>
      <c r="H47" s="279">
        <v>30000</v>
      </c>
      <c r="I47" s="279">
        <v>9867</v>
      </c>
      <c r="J47" s="279">
        <f t="shared" si="0"/>
        <v>41651</v>
      </c>
      <c r="K47" s="470">
        <v>5.7000000000000002E-2</v>
      </c>
      <c r="L47" s="470">
        <v>0.21199999999999999</v>
      </c>
      <c r="M47" s="471">
        <v>0.17</v>
      </c>
      <c r="N47" s="282">
        <f t="shared" si="1"/>
        <v>90.459000000000003</v>
      </c>
      <c r="O47" s="283">
        <f t="shared" si="2"/>
        <v>561.33600000000001</v>
      </c>
      <c r="P47" s="283">
        <f t="shared" si="2"/>
        <v>382.23599999999999</v>
      </c>
      <c r="Q47" s="283">
        <f t="shared" si="3"/>
        <v>6360</v>
      </c>
      <c r="R47" s="283">
        <f t="shared" si="4"/>
        <v>6742.2359999999999</v>
      </c>
      <c r="S47" s="283">
        <f t="shared" si="5"/>
        <v>7080.67</v>
      </c>
    </row>
    <row r="48" spans="1:19" ht="24.95" customHeight="1">
      <c r="A48" s="284" t="s">
        <v>116</v>
      </c>
      <c r="B48" s="285" t="s">
        <v>21</v>
      </c>
      <c r="C48" s="286" t="s">
        <v>289</v>
      </c>
      <c r="D48" s="279">
        <v>127777</v>
      </c>
      <c r="E48" s="279">
        <v>5360</v>
      </c>
      <c r="F48" s="279">
        <v>29339</v>
      </c>
      <c r="G48" s="279">
        <v>5763</v>
      </c>
      <c r="H48" s="279">
        <v>72067</v>
      </c>
      <c r="I48" s="279">
        <v>15248</v>
      </c>
      <c r="J48" s="279">
        <f t="shared" si="0"/>
        <v>107169</v>
      </c>
      <c r="K48" s="470">
        <v>7.0000000000000007E-2</v>
      </c>
      <c r="L48" s="470">
        <v>0.24399999999999999</v>
      </c>
      <c r="M48" s="471">
        <v>0.188</v>
      </c>
      <c r="N48" s="282">
        <f t="shared" si="1"/>
        <v>375.20000000000005</v>
      </c>
      <c r="O48" s="283">
        <f t="shared" si="2"/>
        <v>2053.73</v>
      </c>
      <c r="P48" s="283">
        <f t="shared" si="2"/>
        <v>1406.172</v>
      </c>
      <c r="Q48" s="283">
        <f t="shared" si="3"/>
        <v>17584.347999999998</v>
      </c>
      <c r="R48" s="283">
        <f t="shared" si="4"/>
        <v>18990.519999999997</v>
      </c>
      <c r="S48" s="283">
        <f t="shared" si="5"/>
        <v>20147.772000000001</v>
      </c>
    </row>
    <row r="49" spans="1:19" ht="24.95" customHeight="1">
      <c r="A49" s="284" t="s">
        <v>132</v>
      </c>
      <c r="B49" s="285" t="s">
        <v>295</v>
      </c>
      <c r="C49" s="286" t="s">
        <v>288</v>
      </c>
      <c r="D49" s="279">
        <v>60218</v>
      </c>
      <c r="E49" s="279">
        <v>1671</v>
      </c>
      <c r="F49" s="279">
        <v>9435</v>
      </c>
      <c r="G49" s="279">
        <v>1889</v>
      </c>
      <c r="H49" s="279">
        <v>32684</v>
      </c>
      <c r="I49" s="279">
        <v>14539</v>
      </c>
      <c r="J49" s="279">
        <f t="shared" si="0"/>
        <v>44008</v>
      </c>
      <c r="K49" s="470">
        <v>7.400000000000001E-2</v>
      </c>
      <c r="L49" s="470">
        <v>0.223</v>
      </c>
      <c r="M49" s="471">
        <v>0.18600000000000003</v>
      </c>
      <c r="N49" s="282">
        <f t="shared" si="1"/>
        <v>123.65400000000001</v>
      </c>
      <c r="O49" s="283">
        <f t="shared" si="2"/>
        <v>698.19</v>
      </c>
      <c r="P49" s="283">
        <f t="shared" si="2"/>
        <v>421.24700000000001</v>
      </c>
      <c r="Q49" s="283">
        <f t="shared" si="3"/>
        <v>7288.5320000000002</v>
      </c>
      <c r="R49" s="283">
        <f t="shared" si="4"/>
        <v>7709.7790000000005</v>
      </c>
      <c r="S49" s="283">
        <f t="shared" si="5"/>
        <v>8185.4880000000012</v>
      </c>
    </row>
    <row r="50" spans="1:19" ht="24.95" customHeight="1">
      <c r="A50" s="284" t="s">
        <v>133</v>
      </c>
      <c r="B50" s="285" t="s">
        <v>295</v>
      </c>
      <c r="C50" s="286" t="s">
        <v>288</v>
      </c>
      <c r="D50" s="279">
        <v>111173</v>
      </c>
      <c r="E50" s="279">
        <v>3253</v>
      </c>
      <c r="F50" s="279">
        <v>18765</v>
      </c>
      <c r="G50" s="279">
        <v>3139</v>
      </c>
      <c r="H50" s="279">
        <v>58159</v>
      </c>
      <c r="I50" s="279">
        <v>27857</v>
      </c>
      <c r="J50" s="279">
        <f t="shared" si="0"/>
        <v>80063</v>
      </c>
      <c r="K50" s="470">
        <v>8.199999999999999E-2</v>
      </c>
      <c r="L50" s="470">
        <v>0.24600000000000002</v>
      </c>
      <c r="M50" s="471">
        <v>0.20199999999999999</v>
      </c>
      <c r="N50" s="282">
        <f t="shared" si="1"/>
        <v>266.74599999999998</v>
      </c>
      <c r="O50" s="283">
        <f t="shared" si="2"/>
        <v>1538.7299999999998</v>
      </c>
      <c r="P50" s="283">
        <f t="shared" si="2"/>
        <v>772.19400000000007</v>
      </c>
      <c r="Q50" s="283">
        <f t="shared" si="3"/>
        <v>14307.114000000001</v>
      </c>
      <c r="R50" s="283">
        <f t="shared" si="4"/>
        <v>15079.308000000001</v>
      </c>
      <c r="S50" s="283">
        <f t="shared" si="5"/>
        <v>16172.725999999999</v>
      </c>
    </row>
    <row r="51" spans="1:19" ht="24.95" customHeight="1">
      <c r="A51" s="284" t="s">
        <v>82</v>
      </c>
      <c r="B51" s="285" t="s">
        <v>482</v>
      </c>
      <c r="C51" s="286" t="s">
        <v>289</v>
      </c>
      <c r="D51" s="279">
        <v>24560</v>
      </c>
      <c r="E51" s="279">
        <v>654</v>
      </c>
      <c r="F51" s="279">
        <v>4195</v>
      </c>
      <c r="G51" s="279">
        <v>1269</v>
      </c>
      <c r="H51" s="279">
        <v>14085</v>
      </c>
      <c r="I51" s="279">
        <v>4357</v>
      </c>
      <c r="J51" s="279">
        <f t="shared" si="0"/>
        <v>19549</v>
      </c>
      <c r="K51" s="470">
        <v>5.5999999999999994E-2</v>
      </c>
      <c r="L51" s="470">
        <v>0.215</v>
      </c>
      <c r="M51" s="471">
        <v>0.17199999999999999</v>
      </c>
      <c r="N51" s="282">
        <f t="shared" si="1"/>
        <v>36.623999999999995</v>
      </c>
      <c r="O51" s="283">
        <f t="shared" si="2"/>
        <v>234.92</v>
      </c>
      <c r="P51" s="283">
        <f t="shared" si="2"/>
        <v>272.83499999999998</v>
      </c>
      <c r="Q51" s="283">
        <f t="shared" si="3"/>
        <v>3028.2750000000001</v>
      </c>
      <c r="R51" s="283">
        <f t="shared" si="4"/>
        <v>3301.11</v>
      </c>
      <c r="S51" s="283">
        <f t="shared" si="5"/>
        <v>3362.4279999999999</v>
      </c>
    </row>
    <row r="52" spans="1:19" ht="24.95" customHeight="1">
      <c r="A52" s="284" t="s">
        <v>117</v>
      </c>
      <c r="B52" s="285" t="s">
        <v>21</v>
      </c>
      <c r="C52" s="286" t="s">
        <v>288</v>
      </c>
      <c r="D52" s="279">
        <v>52259</v>
      </c>
      <c r="E52" s="279">
        <v>2691</v>
      </c>
      <c r="F52" s="279">
        <v>13445</v>
      </c>
      <c r="G52" s="279">
        <v>2032</v>
      </c>
      <c r="H52" s="279">
        <v>29529</v>
      </c>
      <c r="I52" s="279">
        <v>4562</v>
      </c>
      <c r="J52" s="279">
        <f t="shared" si="0"/>
        <v>45006</v>
      </c>
      <c r="K52" s="470">
        <v>8.1000000000000003E-2</v>
      </c>
      <c r="L52" s="470">
        <v>0.26600000000000001</v>
      </c>
      <c r="M52" s="471">
        <v>0.20600000000000002</v>
      </c>
      <c r="N52" s="282">
        <f t="shared" si="1"/>
        <v>217.971</v>
      </c>
      <c r="O52" s="283">
        <f t="shared" si="2"/>
        <v>1089.0450000000001</v>
      </c>
      <c r="P52" s="283">
        <f t="shared" si="2"/>
        <v>540.51200000000006</v>
      </c>
      <c r="Q52" s="283">
        <f t="shared" si="3"/>
        <v>7854.7140000000009</v>
      </c>
      <c r="R52" s="283">
        <f t="shared" si="4"/>
        <v>8395.2260000000006</v>
      </c>
      <c r="S52" s="283">
        <f t="shared" si="5"/>
        <v>9271.2360000000008</v>
      </c>
    </row>
    <row r="53" spans="1:19" ht="24.95" customHeight="1">
      <c r="A53" s="284" t="s">
        <v>83</v>
      </c>
      <c r="B53" s="285" t="s">
        <v>482</v>
      </c>
      <c r="C53" s="286" t="s">
        <v>289</v>
      </c>
      <c r="D53" s="279">
        <v>5895</v>
      </c>
      <c r="E53" s="279">
        <v>152</v>
      </c>
      <c r="F53" s="279">
        <v>859</v>
      </c>
      <c r="G53" s="279">
        <v>185</v>
      </c>
      <c r="H53" s="279">
        <v>3659</v>
      </c>
      <c r="I53" s="279">
        <v>1040</v>
      </c>
      <c r="J53" s="279">
        <f t="shared" si="0"/>
        <v>4703</v>
      </c>
      <c r="K53" s="470">
        <v>0.125</v>
      </c>
      <c r="L53" s="470">
        <v>0.27</v>
      </c>
      <c r="M53" s="471">
        <v>0.23300000000000001</v>
      </c>
      <c r="N53" s="282">
        <f t="shared" si="1"/>
        <v>19</v>
      </c>
      <c r="O53" s="283">
        <f t="shared" si="2"/>
        <v>107.375</v>
      </c>
      <c r="P53" s="283">
        <f t="shared" si="2"/>
        <v>49.95</v>
      </c>
      <c r="Q53" s="283">
        <f t="shared" si="3"/>
        <v>987.93000000000006</v>
      </c>
      <c r="R53" s="283">
        <f t="shared" si="4"/>
        <v>1037.8800000000001</v>
      </c>
      <c r="S53" s="283">
        <f t="shared" si="5"/>
        <v>1095.799</v>
      </c>
    </row>
    <row r="54" spans="1:19" ht="24.95" customHeight="1">
      <c r="A54" s="284" t="s">
        <v>110</v>
      </c>
      <c r="B54" s="285" t="s">
        <v>20</v>
      </c>
      <c r="C54" s="286" t="s">
        <v>288</v>
      </c>
      <c r="D54" s="279">
        <v>169005</v>
      </c>
      <c r="E54" s="279">
        <v>5405</v>
      </c>
      <c r="F54" s="279">
        <v>33695</v>
      </c>
      <c r="G54" s="279">
        <v>6718</v>
      </c>
      <c r="H54" s="279">
        <v>98158</v>
      </c>
      <c r="I54" s="279">
        <v>25029</v>
      </c>
      <c r="J54" s="279">
        <f t="shared" si="0"/>
        <v>138571</v>
      </c>
      <c r="K54" s="470">
        <v>7.0000000000000007E-2</v>
      </c>
      <c r="L54" s="470">
        <v>0.223</v>
      </c>
      <c r="M54" s="471">
        <v>0.17800000000000002</v>
      </c>
      <c r="N54" s="282">
        <f t="shared" si="1"/>
        <v>378.35</v>
      </c>
      <c r="O54" s="283">
        <f t="shared" si="2"/>
        <v>2358.65</v>
      </c>
      <c r="P54" s="283">
        <f t="shared" si="2"/>
        <v>1498.114</v>
      </c>
      <c r="Q54" s="283">
        <f t="shared" si="3"/>
        <v>21889.234</v>
      </c>
      <c r="R54" s="283">
        <f t="shared" si="4"/>
        <v>23387.348000000002</v>
      </c>
      <c r="S54" s="283">
        <f t="shared" si="5"/>
        <v>24665.638000000003</v>
      </c>
    </row>
    <row r="55" spans="1:19" ht="24.95" customHeight="1">
      <c r="A55" s="284" t="s">
        <v>134</v>
      </c>
      <c r="B55" s="285" t="s">
        <v>295</v>
      </c>
      <c r="C55" s="286" t="s">
        <v>289</v>
      </c>
      <c r="D55" s="279">
        <v>41070</v>
      </c>
      <c r="E55" s="279">
        <v>1117</v>
      </c>
      <c r="F55" s="279">
        <v>6119</v>
      </c>
      <c r="G55" s="279">
        <v>3815</v>
      </c>
      <c r="H55" s="279">
        <v>22475</v>
      </c>
      <c r="I55" s="279">
        <v>7544</v>
      </c>
      <c r="J55" s="279">
        <f t="shared" si="0"/>
        <v>32409</v>
      </c>
      <c r="K55" s="470">
        <v>0.1</v>
      </c>
      <c r="L55" s="470">
        <v>0.28999999999999998</v>
      </c>
      <c r="M55" s="471">
        <v>0.245</v>
      </c>
      <c r="N55" s="282">
        <f t="shared" si="1"/>
        <v>111.7</v>
      </c>
      <c r="O55" s="283">
        <f t="shared" si="2"/>
        <v>611.9</v>
      </c>
      <c r="P55" s="283">
        <f t="shared" si="2"/>
        <v>1106.3499999999999</v>
      </c>
      <c r="Q55" s="283">
        <f t="shared" si="3"/>
        <v>6517.75</v>
      </c>
      <c r="R55" s="283">
        <f t="shared" si="4"/>
        <v>7624.1</v>
      </c>
      <c r="S55" s="283">
        <f t="shared" si="5"/>
        <v>7940.2049999999999</v>
      </c>
    </row>
    <row r="56" spans="1:19" ht="24.95" customHeight="1">
      <c r="A56" s="284" t="s">
        <v>48</v>
      </c>
      <c r="B56" s="285" t="s">
        <v>13</v>
      </c>
      <c r="C56" s="286" t="s">
        <v>288</v>
      </c>
      <c r="D56" s="279">
        <v>182580</v>
      </c>
      <c r="E56" s="279">
        <v>6841</v>
      </c>
      <c r="F56" s="279">
        <v>40872</v>
      </c>
      <c r="G56" s="279">
        <v>7063</v>
      </c>
      <c r="H56" s="279">
        <v>105186</v>
      </c>
      <c r="I56" s="279">
        <v>22618</v>
      </c>
      <c r="J56" s="279">
        <f t="shared" si="0"/>
        <v>153121</v>
      </c>
      <c r="K56" s="470">
        <v>7.8E-2</v>
      </c>
      <c r="L56" s="470">
        <v>0.24600000000000002</v>
      </c>
      <c r="M56" s="471">
        <v>0.193</v>
      </c>
      <c r="N56" s="282">
        <f t="shared" si="1"/>
        <v>533.59799999999996</v>
      </c>
      <c r="O56" s="283">
        <f t="shared" si="2"/>
        <v>3188.0160000000001</v>
      </c>
      <c r="P56" s="283">
        <f t="shared" si="2"/>
        <v>1737.4980000000003</v>
      </c>
      <c r="Q56" s="283">
        <f t="shared" si="3"/>
        <v>25875.756000000001</v>
      </c>
      <c r="R56" s="283">
        <f t="shared" si="4"/>
        <v>27613.254000000001</v>
      </c>
      <c r="S56" s="283">
        <f t="shared" si="5"/>
        <v>29552.352999999999</v>
      </c>
    </row>
    <row r="57" spans="1:19" ht="24.95" customHeight="1">
      <c r="A57" s="284" t="s">
        <v>84</v>
      </c>
      <c r="B57" s="285" t="s">
        <v>482</v>
      </c>
      <c r="C57" s="286" t="s">
        <v>288</v>
      </c>
      <c r="D57" s="279">
        <v>10601</v>
      </c>
      <c r="E57" s="279">
        <v>308</v>
      </c>
      <c r="F57" s="279">
        <v>1862</v>
      </c>
      <c r="G57" s="279">
        <v>294</v>
      </c>
      <c r="H57" s="279">
        <v>6086</v>
      </c>
      <c r="I57" s="279">
        <v>2051</v>
      </c>
      <c r="J57" s="279">
        <f t="shared" si="0"/>
        <v>8242</v>
      </c>
      <c r="K57" s="470">
        <v>9.4E-2</v>
      </c>
      <c r="L57" s="470">
        <v>0.255</v>
      </c>
      <c r="M57" s="471">
        <v>0.215</v>
      </c>
      <c r="N57" s="282">
        <f t="shared" si="1"/>
        <v>28.952000000000002</v>
      </c>
      <c r="O57" s="283">
        <f t="shared" si="2"/>
        <v>175.02799999999999</v>
      </c>
      <c r="P57" s="283">
        <f t="shared" si="2"/>
        <v>74.97</v>
      </c>
      <c r="Q57" s="283">
        <f t="shared" si="3"/>
        <v>1551.93</v>
      </c>
      <c r="R57" s="283">
        <f t="shared" si="4"/>
        <v>1626.9</v>
      </c>
      <c r="S57" s="283">
        <f t="shared" si="5"/>
        <v>1772.03</v>
      </c>
    </row>
    <row r="58" spans="1:19" ht="24.95" customHeight="1">
      <c r="A58" s="284" t="s">
        <v>118</v>
      </c>
      <c r="B58" s="285" t="s">
        <v>21</v>
      </c>
      <c r="C58" s="286" t="s">
        <v>289</v>
      </c>
      <c r="D58" s="279">
        <v>60962</v>
      </c>
      <c r="E58" s="279">
        <v>2405</v>
      </c>
      <c r="F58" s="279">
        <v>12794</v>
      </c>
      <c r="G58" s="279">
        <v>2356</v>
      </c>
      <c r="H58" s="279">
        <v>33972</v>
      </c>
      <c r="I58" s="279">
        <v>9435</v>
      </c>
      <c r="J58" s="279">
        <f t="shared" si="0"/>
        <v>49122</v>
      </c>
      <c r="K58" s="470">
        <v>8.4000000000000005E-2</v>
      </c>
      <c r="L58" s="470">
        <v>0.26899999999999996</v>
      </c>
      <c r="M58" s="471">
        <v>0.21199999999999999</v>
      </c>
      <c r="N58" s="282">
        <f t="shared" si="1"/>
        <v>202.02</v>
      </c>
      <c r="O58" s="283">
        <f t="shared" si="2"/>
        <v>1074.6960000000001</v>
      </c>
      <c r="P58" s="283">
        <f t="shared" si="2"/>
        <v>633.7639999999999</v>
      </c>
      <c r="Q58" s="283">
        <f t="shared" si="3"/>
        <v>9138.4679999999989</v>
      </c>
      <c r="R58" s="283">
        <f t="shared" si="4"/>
        <v>9772.2319999999982</v>
      </c>
      <c r="S58" s="283">
        <f t="shared" si="5"/>
        <v>10413.864</v>
      </c>
    </row>
    <row r="59" spans="1:19" ht="24.95" customHeight="1">
      <c r="A59" s="284" t="s">
        <v>98</v>
      </c>
      <c r="B59" s="285" t="s">
        <v>18</v>
      </c>
      <c r="C59" s="286" t="s">
        <v>289</v>
      </c>
      <c r="D59" s="279">
        <v>58950</v>
      </c>
      <c r="E59" s="279">
        <v>1895</v>
      </c>
      <c r="F59" s="279">
        <v>11377</v>
      </c>
      <c r="G59" s="279">
        <v>2192</v>
      </c>
      <c r="H59" s="279">
        <v>32853</v>
      </c>
      <c r="I59" s="279">
        <v>10633</v>
      </c>
      <c r="J59" s="279">
        <f t="shared" si="0"/>
        <v>46422</v>
      </c>
      <c r="K59" s="470">
        <v>6.3E-2</v>
      </c>
      <c r="L59" s="470">
        <v>0.245</v>
      </c>
      <c r="M59" s="471">
        <v>0.19399999999999998</v>
      </c>
      <c r="N59" s="282">
        <f t="shared" si="1"/>
        <v>119.38500000000001</v>
      </c>
      <c r="O59" s="283">
        <f t="shared" si="2"/>
        <v>716.75099999999998</v>
      </c>
      <c r="P59" s="283">
        <f t="shared" si="2"/>
        <v>537.04</v>
      </c>
      <c r="Q59" s="283">
        <f t="shared" si="3"/>
        <v>8048.9849999999997</v>
      </c>
      <c r="R59" s="283">
        <f t="shared" si="4"/>
        <v>8586.0249999999996</v>
      </c>
      <c r="S59" s="283">
        <f t="shared" si="5"/>
        <v>9005.8679999999986</v>
      </c>
    </row>
    <row r="60" spans="1:19" ht="24.95" customHeight="1">
      <c r="A60" s="284" t="s">
        <v>111</v>
      </c>
      <c r="B60" s="285" t="s">
        <v>20</v>
      </c>
      <c r="C60" s="286" t="s">
        <v>288</v>
      </c>
      <c r="D60" s="279">
        <v>80813</v>
      </c>
      <c r="E60" s="279">
        <v>2339</v>
      </c>
      <c r="F60" s="279">
        <v>14899</v>
      </c>
      <c r="G60" s="279">
        <v>3049</v>
      </c>
      <c r="H60" s="279">
        <v>47422</v>
      </c>
      <c r="I60" s="279">
        <v>13104</v>
      </c>
      <c r="J60" s="279">
        <f t="shared" si="0"/>
        <v>65370</v>
      </c>
      <c r="K60" s="470">
        <v>8.199999999999999E-2</v>
      </c>
      <c r="L60" s="470">
        <v>0.22399999999999998</v>
      </c>
      <c r="M60" s="471">
        <v>0.18600000000000003</v>
      </c>
      <c r="N60" s="282">
        <f t="shared" si="1"/>
        <v>191.79799999999997</v>
      </c>
      <c r="O60" s="283">
        <f t="shared" si="2"/>
        <v>1221.7179999999998</v>
      </c>
      <c r="P60" s="283">
        <f t="shared" si="2"/>
        <v>682.97599999999989</v>
      </c>
      <c r="Q60" s="283">
        <f t="shared" si="3"/>
        <v>10622.527999999998</v>
      </c>
      <c r="R60" s="283">
        <f t="shared" si="4"/>
        <v>11305.503999999999</v>
      </c>
      <c r="S60" s="283">
        <f t="shared" si="5"/>
        <v>12158.820000000002</v>
      </c>
    </row>
    <row r="61" spans="1:19" ht="24.95" customHeight="1">
      <c r="A61" s="284" t="s">
        <v>135</v>
      </c>
      <c r="B61" s="285" t="s">
        <v>295</v>
      </c>
      <c r="C61" s="286" t="s">
        <v>289</v>
      </c>
      <c r="D61" s="279">
        <v>34179</v>
      </c>
      <c r="E61" s="279">
        <v>1037</v>
      </c>
      <c r="F61" s="279">
        <v>5426</v>
      </c>
      <c r="G61" s="279">
        <v>1087</v>
      </c>
      <c r="H61" s="279">
        <v>17347</v>
      </c>
      <c r="I61" s="279">
        <v>9282</v>
      </c>
      <c r="J61" s="279">
        <f t="shared" si="0"/>
        <v>23860</v>
      </c>
      <c r="K61" s="470">
        <v>0.111</v>
      </c>
      <c r="L61" s="470">
        <v>0.30199999999999999</v>
      </c>
      <c r="M61" s="471">
        <v>0.253</v>
      </c>
      <c r="N61" s="282">
        <f t="shared" si="1"/>
        <v>115.107</v>
      </c>
      <c r="O61" s="283">
        <f t="shared" si="2"/>
        <v>602.28600000000006</v>
      </c>
      <c r="P61" s="283">
        <f t="shared" si="2"/>
        <v>328.274</v>
      </c>
      <c r="Q61" s="283">
        <f t="shared" si="3"/>
        <v>5238.7939999999999</v>
      </c>
      <c r="R61" s="283">
        <f t="shared" si="4"/>
        <v>5567.0680000000002</v>
      </c>
      <c r="S61" s="283">
        <f t="shared" si="5"/>
        <v>6036.58</v>
      </c>
    </row>
    <row r="62" spans="1:19" ht="24.95" customHeight="1">
      <c r="A62" s="284" t="s">
        <v>136</v>
      </c>
      <c r="B62" s="285" t="s">
        <v>295</v>
      </c>
      <c r="C62" s="286" t="s">
        <v>288</v>
      </c>
      <c r="D62" s="279">
        <v>21508</v>
      </c>
      <c r="E62" s="279">
        <v>560</v>
      </c>
      <c r="F62" s="279">
        <v>3379</v>
      </c>
      <c r="G62" s="279">
        <v>1246</v>
      </c>
      <c r="H62" s="279">
        <v>11849</v>
      </c>
      <c r="I62" s="279">
        <v>4474</v>
      </c>
      <c r="J62" s="279">
        <f t="shared" si="0"/>
        <v>16474</v>
      </c>
      <c r="K62" s="470">
        <v>6.9000000000000006E-2</v>
      </c>
      <c r="L62" s="470">
        <v>0.214</v>
      </c>
      <c r="M62" s="471">
        <v>0.17699999999999999</v>
      </c>
      <c r="N62" s="282">
        <f t="shared" si="1"/>
        <v>38.64</v>
      </c>
      <c r="O62" s="283">
        <f t="shared" si="2"/>
        <v>233.15100000000001</v>
      </c>
      <c r="P62" s="283">
        <f t="shared" si="2"/>
        <v>266.64400000000001</v>
      </c>
      <c r="Q62" s="283">
        <f t="shared" si="3"/>
        <v>2535.6860000000001</v>
      </c>
      <c r="R62" s="283">
        <f t="shared" si="4"/>
        <v>2802.33</v>
      </c>
      <c r="S62" s="283">
        <f t="shared" si="5"/>
        <v>2915.8979999999997</v>
      </c>
    </row>
    <row r="63" spans="1:19" ht="24.95" customHeight="1">
      <c r="A63" s="284" t="s">
        <v>85</v>
      </c>
      <c r="B63" s="285" t="s">
        <v>482</v>
      </c>
      <c r="C63" s="286" t="s">
        <v>289</v>
      </c>
      <c r="D63" s="279">
        <v>23448</v>
      </c>
      <c r="E63" s="279">
        <v>705</v>
      </c>
      <c r="F63" s="279">
        <v>4180</v>
      </c>
      <c r="G63" s="279">
        <v>703</v>
      </c>
      <c r="H63" s="279">
        <v>13000</v>
      </c>
      <c r="I63" s="279">
        <v>4860</v>
      </c>
      <c r="J63" s="279">
        <f t="shared" si="0"/>
        <v>17883</v>
      </c>
      <c r="K63" s="470">
        <v>6.6000000000000003E-2</v>
      </c>
      <c r="L63" s="470">
        <v>0.21</v>
      </c>
      <c r="M63" s="471">
        <v>0.17199999999999999</v>
      </c>
      <c r="N63" s="282">
        <f t="shared" si="1"/>
        <v>46.53</v>
      </c>
      <c r="O63" s="283">
        <f t="shared" si="2"/>
        <v>275.88</v>
      </c>
      <c r="P63" s="283">
        <f t="shared" si="2"/>
        <v>147.63</v>
      </c>
      <c r="Q63" s="283">
        <f t="shared" si="3"/>
        <v>2730</v>
      </c>
      <c r="R63" s="283">
        <f t="shared" si="4"/>
        <v>2877.63</v>
      </c>
      <c r="S63" s="283">
        <f t="shared" si="5"/>
        <v>3075.8759999999997</v>
      </c>
    </row>
    <row r="64" spans="1:19" ht="24.95" customHeight="1">
      <c r="A64" s="284" t="s">
        <v>137</v>
      </c>
      <c r="B64" s="285" t="s">
        <v>295</v>
      </c>
      <c r="C64" s="286" t="s">
        <v>289</v>
      </c>
      <c r="D64" s="279">
        <v>45317</v>
      </c>
      <c r="E64" s="279">
        <v>1331</v>
      </c>
      <c r="F64" s="279">
        <v>7949</v>
      </c>
      <c r="G64" s="279">
        <v>1573</v>
      </c>
      <c r="H64" s="279">
        <v>25792</v>
      </c>
      <c r="I64" s="279">
        <v>8672</v>
      </c>
      <c r="J64" s="279">
        <f t="shared" si="0"/>
        <v>35314</v>
      </c>
      <c r="K64" s="470">
        <v>6.3E-2</v>
      </c>
      <c r="L64" s="470">
        <v>0.21899999999999997</v>
      </c>
      <c r="M64" s="471">
        <v>0.17800000000000002</v>
      </c>
      <c r="N64" s="282">
        <f t="shared" si="1"/>
        <v>83.852999999999994</v>
      </c>
      <c r="O64" s="283">
        <f t="shared" si="2"/>
        <v>500.78699999999998</v>
      </c>
      <c r="P64" s="283">
        <f t="shared" si="2"/>
        <v>344.48699999999997</v>
      </c>
      <c r="Q64" s="283">
        <f t="shared" si="3"/>
        <v>5648.4479999999994</v>
      </c>
      <c r="R64" s="283">
        <f t="shared" si="4"/>
        <v>5992.9349999999995</v>
      </c>
      <c r="S64" s="283">
        <f t="shared" si="5"/>
        <v>6285.8920000000007</v>
      </c>
    </row>
    <row r="65" spans="1:19" ht="24.95" customHeight="1">
      <c r="A65" s="284" t="s">
        <v>105</v>
      </c>
      <c r="B65" s="285" t="s">
        <v>14</v>
      </c>
      <c r="C65" s="286" t="s">
        <v>288</v>
      </c>
      <c r="D65" s="279">
        <v>1032073</v>
      </c>
      <c r="E65" s="279">
        <v>41410</v>
      </c>
      <c r="F65" s="279">
        <v>208925</v>
      </c>
      <c r="G65" s="279">
        <v>36361</v>
      </c>
      <c r="H65" s="279">
        <v>638333</v>
      </c>
      <c r="I65" s="279">
        <v>107044</v>
      </c>
      <c r="J65" s="279">
        <f t="shared" si="0"/>
        <v>883619</v>
      </c>
      <c r="K65" s="470">
        <v>7.0999999999999994E-2</v>
      </c>
      <c r="L65" s="470">
        <v>0.23</v>
      </c>
      <c r="M65" s="471">
        <v>0.185</v>
      </c>
      <c r="N65" s="282">
        <f t="shared" si="1"/>
        <v>2940.1099999999997</v>
      </c>
      <c r="O65" s="283">
        <f t="shared" si="2"/>
        <v>14833.674999999999</v>
      </c>
      <c r="P65" s="283">
        <f t="shared" si="2"/>
        <v>8363.0300000000007</v>
      </c>
      <c r="Q65" s="283">
        <f t="shared" si="3"/>
        <v>146816.59</v>
      </c>
      <c r="R65" s="283">
        <f t="shared" si="4"/>
        <v>155179.62</v>
      </c>
      <c r="S65" s="283">
        <f t="shared" si="5"/>
        <v>163469.51499999998</v>
      </c>
    </row>
    <row r="66" spans="1:19" ht="24.95" customHeight="1">
      <c r="A66" s="284" t="s">
        <v>138</v>
      </c>
      <c r="B66" s="285" t="s">
        <v>295</v>
      </c>
      <c r="C66" s="286" t="s">
        <v>289</v>
      </c>
      <c r="D66" s="279">
        <v>15337</v>
      </c>
      <c r="E66" s="279">
        <v>452</v>
      </c>
      <c r="F66" s="279">
        <v>2381</v>
      </c>
      <c r="G66" s="279">
        <v>371</v>
      </c>
      <c r="H66" s="279">
        <v>8614</v>
      </c>
      <c r="I66" s="279">
        <v>3519</v>
      </c>
      <c r="J66" s="279">
        <f t="shared" si="0"/>
        <v>11366</v>
      </c>
      <c r="K66" s="470">
        <v>7.2999999999999995E-2</v>
      </c>
      <c r="L66" s="470">
        <v>0.22399999999999998</v>
      </c>
      <c r="M66" s="471">
        <v>0.187</v>
      </c>
      <c r="N66" s="282">
        <f t="shared" si="1"/>
        <v>32.995999999999995</v>
      </c>
      <c r="O66" s="283">
        <f t="shared" si="2"/>
        <v>173.81299999999999</v>
      </c>
      <c r="P66" s="283">
        <f t="shared" si="2"/>
        <v>83.103999999999985</v>
      </c>
      <c r="Q66" s="283">
        <f t="shared" si="3"/>
        <v>1929.5359999999998</v>
      </c>
      <c r="R66" s="283">
        <f t="shared" si="4"/>
        <v>2012.6399999999999</v>
      </c>
      <c r="S66" s="283">
        <f t="shared" si="5"/>
        <v>2125.442</v>
      </c>
    </row>
    <row r="67" spans="1:19" ht="24.95" customHeight="1">
      <c r="A67" s="284" t="s">
        <v>119</v>
      </c>
      <c r="B67" s="285" t="s">
        <v>21</v>
      </c>
      <c r="C67" s="286" t="s">
        <v>289</v>
      </c>
      <c r="D67" s="279">
        <v>27716</v>
      </c>
      <c r="E67" s="279">
        <v>904</v>
      </c>
      <c r="F67" s="279">
        <v>5369</v>
      </c>
      <c r="G67" s="279">
        <v>1133</v>
      </c>
      <c r="H67" s="279">
        <v>15033</v>
      </c>
      <c r="I67" s="279">
        <v>5277</v>
      </c>
      <c r="J67" s="279">
        <f t="shared" si="0"/>
        <v>21535</v>
      </c>
      <c r="K67" s="470">
        <v>0.09</v>
      </c>
      <c r="L67" s="470">
        <v>0.29100000000000004</v>
      </c>
      <c r="M67" s="471">
        <v>0.23199999999999998</v>
      </c>
      <c r="N67" s="282">
        <f t="shared" si="1"/>
        <v>81.36</v>
      </c>
      <c r="O67" s="283">
        <f t="shared" si="2"/>
        <v>483.21</v>
      </c>
      <c r="P67" s="283">
        <f t="shared" si="2"/>
        <v>329.70300000000003</v>
      </c>
      <c r="Q67" s="283">
        <f t="shared" si="3"/>
        <v>4374.603000000001</v>
      </c>
      <c r="R67" s="283">
        <f t="shared" si="4"/>
        <v>4704.3060000000014</v>
      </c>
      <c r="S67" s="283">
        <f t="shared" si="5"/>
        <v>4996.12</v>
      </c>
    </row>
    <row r="68" spans="1:19" ht="24.95" customHeight="1">
      <c r="A68" s="284" t="s">
        <v>120</v>
      </c>
      <c r="B68" s="285" t="s">
        <v>21</v>
      </c>
      <c r="C68" s="286" t="s">
        <v>289</v>
      </c>
      <c r="D68" s="279">
        <v>94254</v>
      </c>
      <c r="E68" s="279">
        <v>2954</v>
      </c>
      <c r="F68" s="279">
        <v>16739</v>
      </c>
      <c r="G68" s="279">
        <v>3017</v>
      </c>
      <c r="H68" s="279">
        <v>47869</v>
      </c>
      <c r="I68" s="279">
        <v>23675</v>
      </c>
      <c r="J68" s="279">
        <f t="shared" si="0"/>
        <v>67625</v>
      </c>
      <c r="K68" s="470">
        <v>7.4999999999999997E-2</v>
      </c>
      <c r="L68" s="470">
        <v>0.21</v>
      </c>
      <c r="M68" s="471">
        <v>0.17100000000000001</v>
      </c>
      <c r="N68" s="282">
        <f t="shared" si="1"/>
        <v>221.54999999999998</v>
      </c>
      <c r="O68" s="283">
        <f t="shared" si="2"/>
        <v>1255.425</v>
      </c>
      <c r="P68" s="283">
        <f t="shared" si="2"/>
        <v>633.56999999999994</v>
      </c>
      <c r="Q68" s="283">
        <f t="shared" si="3"/>
        <v>10052.49</v>
      </c>
      <c r="R68" s="283">
        <f t="shared" si="4"/>
        <v>10686.06</v>
      </c>
      <c r="S68" s="283">
        <f t="shared" si="5"/>
        <v>11563.875</v>
      </c>
    </row>
    <row r="69" spans="1:19" ht="24.95" customHeight="1">
      <c r="A69" s="284" t="s">
        <v>99</v>
      </c>
      <c r="B69" s="285" t="s">
        <v>18</v>
      </c>
      <c r="C69" s="286" t="s">
        <v>288</v>
      </c>
      <c r="D69" s="279">
        <v>94056</v>
      </c>
      <c r="E69" s="279">
        <v>3074</v>
      </c>
      <c r="F69" s="279">
        <v>17752</v>
      </c>
      <c r="G69" s="279">
        <v>3505</v>
      </c>
      <c r="H69" s="279">
        <v>53974</v>
      </c>
      <c r="I69" s="279">
        <v>15751</v>
      </c>
      <c r="J69" s="279">
        <f t="shared" si="0"/>
        <v>75231</v>
      </c>
      <c r="K69" s="470">
        <v>6.7000000000000004E-2</v>
      </c>
      <c r="L69" s="470">
        <v>0.22</v>
      </c>
      <c r="M69" s="471">
        <v>0.17699999999999999</v>
      </c>
      <c r="N69" s="282">
        <f t="shared" si="1"/>
        <v>205.958</v>
      </c>
      <c r="O69" s="283">
        <f t="shared" si="2"/>
        <v>1189.384</v>
      </c>
      <c r="P69" s="283">
        <f t="shared" si="2"/>
        <v>771.1</v>
      </c>
      <c r="Q69" s="283">
        <f t="shared" si="3"/>
        <v>11874.28</v>
      </c>
      <c r="R69" s="283">
        <f t="shared" si="4"/>
        <v>12645.380000000001</v>
      </c>
      <c r="S69" s="283">
        <f t="shared" si="5"/>
        <v>13315.886999999999</v>
      </c>
    </row>
    <row r="70" spans="1:19" ht="24.95" customHeight="1">
      <c r="A70" s="284" t="s">
        <v>71</v>
      </c>
      <c r="B70" s="285" t="s">
        <v>482</v>
      </c>
      <c r="C70" s="286" t="s">
        <v>288</v>
      </c>
      <c r="D70" s="279">
        <v>221590</v>
      </c>
      <c r="E70" s="279">
        <v>6543</v>
      </c>
      <c r="F70" s="279">
        <v>35322</v>
      </c>
      <c r="G70" s="279">
        <v>11820</v>
      </c>
      <c r="H70" s="279">
        <v>132369</v>
      </c>
      <c r="I70" s="279">
        <v>35536</v>
      </c>
      <c r="J70" s="279">
        <f t="shared" ref="J70:J105" si="6">SUM(F70:H70)</f>
        <v>179511</v>
      </c>
      <c r="K70" s="470">
        <v>6.5000000000000002E-2</v>
      </c>
      <c r="L70" s="470">
        <v>0.22600000000000001</v>
      </c>
      <c r="M70" s="471">
        <v>0.18600000000000003</v>
      </c>
      <c r="N70" s="282">
        <f t="shared" si="1"/>
        <v>425.29500000000002</v>
      </c>
      <c r="O70" s="283">
        <f t="shared" si="2"/>
        <v>2295.9300000000003</v>
      </c>
      <c r="P70" s="283">
        <f t="shared" si="2"/>
        <v>2671.32</v>
      </c>
      <c r="Q70" s="283">
        <f t="shared" si="3"/>
        <v>29915.394</v>
      </c>
      <c r="R70" s="283">
        <f t="shared" si="4"/>
        <v>32586.714</v>
      </c>
      <c r="S70" s="283">
        <f t="shared" si="5"/>
        <v>33389.046000000002</v>
      </c>
    </row>
    <row r="71" spans="1:19" ht="24.95" customHeight="1">
      <c r="A71" s="284" t="s">
        <v>86</v>
      </c>
      <c r="B71" s="285" t="s">
        <v>482</v>
      </c>
      <c r="C71" s="286" t="s">
        <v>289</v>
      </c>
      <c r="D71" s="279">
        <v>20720</v>
      </c>
      <c r="E71" s="279">
        <v>543</v>
      </c>
      <c r="F71" s="279">
        <v>3425</v>
      </c>
      <c r="G71" s="279">
        <v>535</v>
      </c>
      <c r="H71" s="279">
        <v>11640</v>
      </c>
      <c r="I71" s="279">
        <v>4577</v>
      </c>
      <c r="J71" s="279">
        <f t="shared" si="6"/>
        <v>15600</v>
      </c>
      <c r="K71" s="470">
        <v>5.5999999999999994E-2</v>
      </c>
      <c r="L71" s="470">
        <v>0.19899999999999998</v>
      </c>
      <c r="M71" s="471">
        <v>0.16200000000000001</v>
      </c>
      <c r="N71" s="282">
        <f t="shared" ref="N71:N105" si="7">E71*K71</f>
        <v>30.407999999999998</v>
      </c>
      <c r="O71" s="283">
        <f t="shared" ref="O71:P105" si="8">F71*K71</f>
        <v>191.79999999999998</v>
      </c>
      <c r="P71" s="283">
        <f t="shared" si="8"/>
        <v>106.46499999999999</v>
      </c>
      <c r="Q71" s="283">
        <f t="shared" ref="Q71:Q105" si="9">H71*L71</f>
        <v>2316.3599999999997</v>
      </c>
      <c r="R71" s="283">
        <f t="shared" ref="R71:R105" si="10">SUM(P71:Q71)</f>
        <v>2422.8249999999998</v>
      </c>
      <c r="S71" s="283">
        <f t="shared" ref="S71:S105" si="11">J71*M71</f>
        <v>2527.2000000000003</v>
      </c>
    </row>
    <row r="72" spans="1:19" ht="24.95" customHeight="1">
      <c r="A72" s="284" t="s">
        <v>72</v>
      </c>
      <c r="B72" s="285" t="s">
        <v>482</v>
      </c>
      <c r="C72" s="286" t="s">
        <v>288</v>
      </c>
      <c r="D72" s="279">
        <v>200922</v>
      </c>
      <c r="E72" s="279">
        <v>12797</v>
      </c>
      <c r="F72" s="279">
        <v>44088</v>
      </c>
      <c r="G72" s="279">
        <v>14823</v>
      </c>
      <c r="H72" s="279">
        <v>112046</v>
      </c>
      <c r="I72" s="279">
        <v>17168</v>
      </c>
      <c r="J72" s="279">
        <f t="shared" si="6"/>
        <v>170957</v>
      </c>
      <c r="K72" s="470">
        <v>6.4000000000000001E-2</v>
      </c>
      <c r="L72" s="470">
        <v>0.20199999999999999</v>
      </c>
      <c r="M72" s="471">
        <v>0.159</v>
      </c>
      <c r="N72" s="282">
        <f t="shared" si="7"/>
        <v>819.00800000000004</v>
      </c>
      <c r="O72" s="283">
        <f t="shared" si="8"/>
        <v>2821.6320000000001</v>
      </c>
      <c r="P72" s="283">
        <f t="shared" si="8"/>
        <v>2994.2459999999996</v>
      </c>
      <c r="Q72" s="283">
        <f t="shared" si="9"/>
        <v>22633.291999999998</v>
      </c>
      <c r="R72" s="283">
        <f t="shared" si="10"/>
        <v>25627.537999999997</v>
      </c>
      <c r="S72" s="283">
        <f t="shared" si="11"/>
        <v>27182.163</v>
      </c>
    </row>
    <row r="73" spans="1:19" ht="24.95" customHeight="1">
      <c r="A73" s="284" t="s">
        <v>58</v>
      </c>
      <c r="B73" s="285" t="s">
        <v>14</v>
      </c>
      <c r="C73" s="286" t="s">
        <v>288</v>
      </c>
      <c r="D73" s="279">
        <v>143063</v>
      </c>
      <c r="E73" s="279">
        <v>3688</v>
      </c>
      <c r="F73" s="279">
        <v>24245</v>
      </c>
      <c r="G73" s="279">
        <v>12235</v>
      </c>
      <c r="H73" s="279">
        <v>85617</v>
      </c>
      <c r="I73" s="279">
        <v>17278</v>
      </c>
      <c r="J73" s="279">
        <f t="shared" si="6"/>
        <v>122097</v>
      </c>
      <c r="K73" s="470">
        <v>7.2999999999999995E-2</v>
      </c>
      <c r="L73" s="470">
        <v>0.18</v>
      </c>
      <c r="M73" s="471">
        <v>0.153</v>
      </c>
      <c r="N73" s="282">
        <f t="shared" si="7"/>
        <v>269.22399999999999</v>
      </c>
      <c r="O73" s="283">
        <f t="shared" si="8"/>
        <v>1769.885</v>
      </c>
      <c r="P73" s="283">
        <f t="shared" si="8"/>
        <v>2202.2999999999997</v>
      </c>
      <c r="Q73" s="283">
        <f t="shared" si="9"/>
        <v>15411.06</v>
      </c>
      <c r="R73" s="283">
        <f t="shared" si="10"/>
        <v>17613.36</v>
      </c>
      <c r="S73" s="283">
        <f t="shared" si="11"/>
        <v>18680.841</v>
      </c>
    </row>
    <row r="74" spans="1:19" ht="24.95" customHeight="1">
      <c r="A74" s="284" t="s">
        <v>87</v>
      </c>
      <c r="B74" s="285" t="s">
        <v>482</v>
      </c>
      <c r="C74" s="286" t="s">
        <v>288</v>
      </c>
      <c r="D74" s="279">
        <v>13067</v>
      </c>
      <c r="E74" s="279">
        <v>291</v>
      </c>
      <c r="F74" s="279">
        <v>1843</v>
      </c>
      <c r="G74" s="279">
        <v>327</v>
      </c>
      <c r="H74" s="279">
        <v>7128</v>
      </c>
      <c r="I74" s="279">
        <v>3478</v>
      </c>
      <c r="J74" s="279">
        <f t="shared" si="6"/>
        <v>9298</v>
      </c>
      <c r="K74" s="470">
        <v>0.10800000000000001</v>
      </c>
      <c r="L74" s="470">
        <v>0.22899999999999998</v>
      </c>
      <c r="M74" s="471">
        <v>0.19899999999999998</v>
      </c>
      <c r="N74" s="282">
        <f t="shared" si="7"/>
        <v>31.428000000000004</v>
      </c>
      <c r="O74" s="283">
        <f t="shared" si="8"/>
        <v>199.04400000000001</v>
      </c>
      <c r="P74" s="283">
        <f t="shared" si="8"/>
        <v>74.882999999999996</v>
      </c>
      <c r="Q74" s="283">
        <f t="shared" si="9"/>
        <v>1632.3119999999999</v>
      </c>
      <c r="R74" s="283">
        <f t="shared" si="10"/>
        <v>1707.1949999999999</v>
      </c>
      <c r="S74" s="283">
        <f t="shared" si="11"/>
        <v>1850.3019999999999</v>
      </c>
    </row>
    <row r="75" spans="1:19" ht="24.95" customHeight="1">
      <c r="A75" s="284" t="s">
        <v>88</v>
      </c>
      <c r="B75" s="285" t="s">
        <v>482</v>
      </c>
      <c r="C75" s="286" t="s">
        <v>289</v>
      </c>
      <c r="D75" s="279">
        <v>38919</v>
      </c>
      <c r="E75" s="279">
        <v>1330</v>
      </c>
      <c r="F75" s="279">
        <v>7579</v>
      </c>
      <c r="G75" s="279">
        <v>2172</v>
      </c>
      <c r="H75" s="279">
        <v>22001</v>
      </c>
      <c r="I75" s="279">
        <v>5837</v>
      </c>
      <c r="J75" s="279">
        <f t="shared" si="6"/>
        <v>31752</v>
      </c>
      <c r="K75" s="470">
        <v>0.06</v>
      </c>
      <c r="L75" s="470">
        <v>0.214</v>
      </c>
      <c r="M75" s="471">
        <v>0.17100000000000001</v>
      </c>
      <c r="N75" s="282">
        <f t="shared" si="7"/>
        <v>79.8</v>
      </c>
      <c r="O75" s="283">
        <f t="shared" si="8"/>
        <v>454.74</v>
      </c>
      <c r="P75" s="283">
        <f t="shared" si="8"/>
        <v>464.80799999999999</v>
      </c>
      <c r="Q75" s="283">
        <f t="shared" si="9"/>
        <v>4708.2139999999999</v>
      </c>
      <c r="R75" s="283">
        <f t="shared" si="10"/>
        <v>5173.0219999999999</v>
      </c>
      <c r="S75" s="283">
        <f t="shared" si="11"/>
        <v>5429.5920000000006</v>
      </c>
    </row>
    <row r="76" spans="1:19" ht="24.95" customHeight="1">
      <c r="A76" s="284" t="s">
        <v>73</v>
      </c>
      <c r="B76" s="285" t="s">
        <v>482</v>
      </c>
      <c r="C76" s="286" t="s">
        <v>288</v>
      </c>
      <c r="D76" s="279">
        <v>57689</v>
      </c>
      <c r="E76" s="279">
        <v>1778</v>
      </c>
      <c r="F76" s="279">
        <v>10359</v>
      </c>
      <c r="G76" s="279">
        <v>2138</v>
      </c>
      <c r="H76" s="279">
        <v>33440</v>
      </c>
      <c r="I76" s="279">
        <v>9974</v>
      </c>
      <c r="J76" s="279">
        <f t="shared" si="6"/>
        <v>45937</v>
      </c>
      <c r="K76" s="470">
        <v>8.199999999999999E-2</v>
      </c>
      <c r="L76" s="470">
        <v>0.247</v>
      </c>
      <c r="M76" s="471">
        <v>0.20199999999999999</v>
      </c>
      <c r="N76" s="282">
        <f t="shared" si="7"/>
        <v>145.79599999999999</v>
      </c>
      <c r="O76" s="283">
        <f t="shared" si="8"/>
        <v>849.43799999999987</v>
      </c>
      <c r="P76" s="283">
        <f t="shared" si="8"/>
        <v>528.08600000000001</v>
      </c>
      <c r="Q76" s="283">
        <f t="shared" si="9"/>
        <v>8259.68</v>
      </c>
      <c r="R76" s="283">
        <f t="shared" si="10"/>
        <v>8787.7659999999996</v>
      </c>
      <c r="S76" s="283">
        <f t="shared" si="11"/>
        <v>9279.2739999999994</v>
      </c>
    </row>
    <row r="77" spans="1:19" ht="24.95" customHeight="1">
      <c r="A77" s="284" t="s">
        <v>89</v>
      </c>
      <c r="B77" s="285" t="s">
        <v>482</v>
      </c>
      <c r="C77" s="286" t="s">
        <v>289</v>
      </c>
      <c r="D77" s="279">
        <v>14013</v>
      </c>
      <c r="E77" s="279">
        <v>401</v>
      </c>
      <c r="F77" s="279">
        <v>2288</v>
      </c>
      <c r="G77" s="279">
        <v>373</v>
      </c>
      <c r="H77" s="279">
        <v>7365</v>
      </c>
      <c r="I77" s="279">
        <v>3586</v>
      </c>
      <c r="J77" s="279">
        <f t="shared" si="6"/>
        <v>10026</v>
      </c>
      <c r="K77" s="470">
        <v>7.2999999999999995E-2</v>
      </c>
      <c r="L77" s="470">
        <v>0.20699999999999999</v>
      </c>
      <c r="M77" s="471">
        <v>0.17100000000000001</v>
      </c>
      <c r="N77" s="282">
        <f t="shared" si="7"/>
        <v>29.273</v>
      </c>
      <c r="O77" s="283">
        <f t="shared" si="8"/>
        <v>167.024</v>
      </c>
      <c r="P77" s="283">
        <f t="shared" si="8"/>
        <v>77.210999999999999</v>
      </c>
      <c r="Q77" s="283">
        <f t="shared" si="9"/>
        <v>1524.5549999999998</v>
      </c>
      <c r="R77" s="283">
        <f t="shared" si="10"/>
        <v>1601.7659999999998</v>
      </c>
      <c r="S77" s="283">
        <f t="shared" si="11"/>
        <v>1714.4460000000001</v>
      </c>
    </row>
    <row r="78" spans="1:19" ht="24.95" customHeight="1">
      <c r="A78" s="284" t="s">
        <v>59</v>
      </c>
      <c r="B78" s="285" t="s">
        <v>14</v>
      </c>
      <c r="C78" s="286" t="s">
        <v>288</v>
      </c>
      <c r="D78" s="279">
        <v>39254</v>
      </c>
      <c r="E78" s="279">
        <v>1240</v>
      </c>
      <c r="F78" s="279">
        <v>7155</v>
      </c>
      <c r="G78" s="279">
        <v>1247</v>
      </c>
      <c r="H78" s="279">
        <v>22663</v>
      </c>
      <c r="I78" s="279">
        <v>6949</v>
      </c>
      <c r="J78" s="279">
        <f t="shared" si="6"/>
        <v>31065</v>
      </c>
      <c r="K78" s="470">
        <v>6.5000000000000002E-2</v>
      </c>
      <c r="L78" s="470">
        <v>0.20399999999999999</v>
      </c>
      <c r="M78" s="471">
        <v>0.16600000000000001</v>
      </c>
      <c r="N78" s="282">
        <f t="shared" si="7"/>
        <v>80.600000000000009</v>
      </c>
      <c r="O78" s="283">
        <f t="shared" si="8"/>
        <v>465.07499999999999</v>
      </c>
      <c r="P78" s="283">
        <f t="shared" si="8"/>
        <v>254.38799999999998</v>
      </c>
      <c r="Q78" s="283">
        <f t="shared" si="9"/>
        <v>4623.2519999999995</v>
      </c>
      <c r="R78" s="283">
        <f t="shared" si="10"/>
        <v>4877.6399999999994</v>
      </c>
      <c r="S78" s="283">
        <f t="shared" si="11"/>
        <v>5156.79</v>
      </c>
    </row>
    <row r="79" spans="1:19" ht="24.95" customHeight="1">
      <c r="A79" s="284" t="s">
        <v>90</v>
      </c>
      <c r="B79" s="285" t="s">
        <v>482</v>
      </c>
      <c r="C79" s="286" t="s">
        <v>288</v>
      </c>
      <c r="D79" s="279">
        <v>176749</v>
      </c>
      <c r="E79" s="279">
        <v>5885</v>
      </c>
      <c r="F79" s="279">
        <v>32684</v>
      </c>
      <c r="G79" s="279">
        <v>14969</v>
      </c>
      <c r="H79" s="279">
        <v>102399</v>
      </c>
      <c r="I79" s="279">
        <v>20812</v>
      </c>
      <c r="J79" s="279">
        <f t="shared" si="6"/>
        <v>150052</v>
      </c>
      <c r="K79" s="470">
        <v>0.06</v>
      </c>
      <c r="L79" s="470">
        <v>0.218</v>
      </c>
      <c r="M79" s="471">
        <v>0.17699999999999999</v>
      </c>
      <c r="N79" s="282">
        <f t="shared" si="7"/>
        <v>353.09999999999997</v>
      </c>
      <c r="O79" s="283">
        <f t="shared" si="8"/>
        <v>1961.04</v>
      </c>
      <c r="P79" s="283">
        <f t="shared" si="8"/>
        <v>3263.2420000000002</v>
      </c>
      <c r="Q79" s="283">
        <f t="shared" si="9"/>
        <v>22322.982</v>
      </c>
      <c r="R79" s="283">
        <f t="shared" si="10"/>
        <v>25586.224000000002</v>
      </c>
      <c r="S79" s="283">
        <f t="shared" si="11"/>
        <v>26559.203999999998</v>
      </c>
    </row>
    <row r="80" spans="1:19" ht="24.95" customHeight="1">
      <c r="A80" s="284" t="s">
        <v>139</v>
      </c>
      <c r="B80" s="285" t="s">
        <v>295</v>
      </c>
      <c r="C80" s="286" t="s">
        <v>289</v>
      </c>
      <c r="D80" s="279">
        <v>20754</v>
      </c>
      <c r="E80" s="279">
        <v>459</v>
      </c>
      <c r="F80" s="279">
        <v>3078</v>
      </c>
      <c r="G80" s="279">
        <v>617</v>
      </c>
      <c r="H80" s="279">
        <v>10893</v>
      </c>
      <c r="I80" s="279">
        <v>5707</v>
      </c>
      <c r="J80" s="279">
        <f t="shared" si="6"/>
        <v>14588</v>
      </c>
      <c r="K80" s="470">
        <v>0.11199999999999999</v>
      </c>
      <c r="L80" s="470">
        <v>0.25</v>
      </c>
      <c r="M80" s="471">
        <v>0.21600000000000003</v>
      </c>
      <c r="N80" s="282">
        <f t="shared" si="7"/>
        <v>51.407999999999994</v>
      </c>
      <c r="O80" s="283">
        <f t="shared" si="8"/>
        <v>344.73599999999999</v>
      </c>
      <c r="P80" s="283">
        <f t="shared" si="8"/>
        <v>154.25</v>
      </c>
      <c r="Q80" s="283">
        <f t="shared" si="9"/>
        <v>2723.25</v>
      </c>
      <c r="R80" s="283">
        <f t="shared" si="10"/>
        <v>2877.5</v>
      </c>
      <c r="S80" s="283">
        <f t="shared" si="11"/>
        <v>3151.0080000000003</v>
      </c>
    </row>
    <row r="81" spans="1:19" ht="24.95" customHeight="1">
      <c r="A81" s="284" t="s">
        <v>121</v>
      </c>
      <c r="B81" s="285" t="s">
        <v>21</v>
      </c>
      <c r="C81" s="286" t="s">
        <v>288</v>
      </c>
      <c r="D81" s="279">
        <v>142599</v>
      </c>
      <c r="E81" s="279">
        <v>4714</v>
      </c>
      <c r="F81" s="279">
        <v>27950</v>
      </c>
      <c r="G81" s="279">
        <v>5816</v>
      </c>
      <c r="H81" s="279">
        <v>80879</v>
      </c>
      <c r="I81" s="279">
        <v>23240</v>
      </c>
      <c r="J81" s="279">
        <f t="shared" si="6"/>
        <v>114645</v>
      </c>
      <c r="K81" s="470">
        <v>8.4000000000000005E-2</v>
      </c>
      <c r="L81" s="470">
        <v>0.26100000000000001</v>
      </c>
      <c r="M81" s="471">
        <v>0.21</v>
      </c>
      <c r="N81" s="282">
        <f t="shared" si="7"/>
        <v>395.976</v>
      </c>
      <c r="O81" s="283">
        <f t="shared" si="8"/>
        <v>2347.8000000000002</v>
      </c>
      <c r="P81" s="283">
        <f t="shared" si="8"/>
        <v>1517.9760000000001</v>
      </c>
      <c r="Q81" s="283">
        <f t="shared" si="9"/>
        <v>21109.419000000002</v>
      </c>
      <c r="R81" s="283">
        <f t="shared" si="10"/>
        <v>22627.395</v>
      </c>
      <c r="S81" s="283">
        <f t="shared" si="11"/>
        <v>24075.45</v>
      </c>
    </row>
    <row r="82" spans="1:19" ht="24.95" customHeight="1">
      <c r="A82" s="284" t="s">
        <v>122</v>
      </c>
      <c r="B82" s="285" t="s">
        <v>21</v>
      </c>
      <c r="C82" s="286" t="s">
        <v>289</v>
      </c>
      <c r="D82" s="279">
        <v>45988</v>
      </c>
      <c r="E82" s="279">
        <v>1523</v>
      </c>
      <c r="F82" s="279">
        <v>9165</v>
      </c>
      <c r="G82" s="279">
        <v>2179</v>
      </c>
      <c r="H82" s="279">
        <v>25619</v>
      </c>
      <c r="I82" s="279">
        <v>7502</v>
      </c>
      <c r="J82" s="279">
        <f t="shared" si="6"/>
        <v>36963</v>
      </c>
      <c r="K82" s="470">
        <v>6.8000000000000005E-2</v>
      </c>
      <c r="L82" s="470">
        <v>0.25700000000000001</v>
      </c>
      <c r="M82" s="471">
        <v>0.20199999999999999</v>
      </c>
      <c r="N82" s="282">
        <f t="shared" si="7"/>
        <v>103.56400000000001</v>
      </c>
      <c r="O82" s="283">
        <f t="shared" si="8"/>
        <v>623.22</v>
      </c>
      <c r="P82" s="283">
        <f t="shared" si="8"/>
        <v>560.00300000000004</v>
      </c>
      <c r="Q82" s="283">
        <f t="shared" si="9"/>
        <v>6584.0830000000005</v>
      </c>
      <c r="R82" s="283">
        <f t="shared" si="10"/>
        <v>7144.0860000000002</v>
      </c>
      <c r="S82" s="283">
        <f t="shared" si="11"/>
        <v>7466.5259999999998</v>
      </c>
    </row>
    <row r="83" spans="1:19" ht="24.95" customHeight="1">
      <c r="A83" s="284" t="s">
        <v>100</v>
      </c>
      <c r="B83" s="285" t="s">
        <v>18</v>
      </c>
      <c r="C83" s="286" t="s">
        <v>289</v>
      </c>
      <c r="D83" s="279">
        <v>133305</v>
      </c>
      <c r="E83" s="279">
        <v>5248</v>
      </c>
      <c r="F83" s="279">
        <v>28141</v>
      </c>
      <c r="G83" s="279">
        <v>7672</v>
      </c>
      <c r="H83" s="279">
        <v>74183</v>
      </c>
      <c r="I83" s="279">
        <v>18061</v>
      </c>
      <c r="J83" s="279">
        <f t="shared" si="6"/>
        <v>109996</v>
      </c>
      <c r="K83" s="470">
        <v>7.4999999999999997E-2</v>
      </c>
      <c r="L83" s="470">
        <v>0.32299999999999995</v>
      </c>
      <c r="M83" s="471">
        <v>0.247</v>
      </c>
      <c r="N83" s="282">
        <f t="shared" si="7"/>
        <v>393.59999999999997</v>
      </c>
      <c r="O83" s="283">
        <f t="shared" si="8"/>
        <v>2110.5749999999998</v>
      </c>
      <c r="P83" s="283">
        <f t="shared" si="8"/>
        <v>2478.0559999999996</v>
      </c>
      <c r="Q83" s="283">
        <f t="shared" si="9"/>
        <v>23961.108999999997</v>
      </c>
      <c r="R83" s="283">
        <f t="shared" si="10"/>
        <v>26439.164999999997</v>
      </c>
      <c r="S83" s="283">
        <f t="shared" si="11"/>
        <v>27169.011999999999</v>
      </c>
    </row>
    <row r="84" spans="1:19" ht="24.95" customHeight="1">
      <c r="A84" s="284" t="s">
        <v>67</v>
      </c>
      <c r="B84" s="285" t="s">
        <v>15</v>
      </c>
      <c r="C84" s="286" t="s">
        <v>288</v>
      </c>
      <c r="D84" s="279">
        <v>91316</v>
      </c>
      <c r="E84" s="279">
        <v>2781</v>
      </c>
      <c r="F84" s="279">
        <v>16178</v>
      </c>
      <c r="G84" s="279">
        <v>3163</v>
      </c>
      <c r="H84" s="279">
        <v>52241</v>
      </c>
      <c r="I84" s="279">
        <v>16953</v>
      </c>
      <c r="J84" s="279">
        <f t="shared" si="6"/>
        <v>71582</v>
      </c>
      <c r="K84" s="470">
        <v>6.6000000000000003E-2</v>
      </c>
      <c r="L84" s="470">
        <v>0.223</v>
      </c>
      <c r="M84" s="471">
        <v>0.182</v>
      </c>
      <c r="N84" s="282">
        <f t="shared" si="7"/>
        <v>183.54600000000002</v>
      </c>
      <c r="O84" s="283">
        <f t="shared" si="8"/>
        <v>1067.748</v>
      </c>
      <c r="P84" s="283">
        <f t="shared" si="8"/>
        <v>705.34900000000005</v>
      </c>
      <c r="Q84" s="283">
        <f t="shared" si="9"/>
        <v>11649.743</v>
      </c>
      <c r="R84" s="283">
        <f t="shared" si="10"/>
        <v>12355.092000000001</v>
      </c>
      <c r="S84" s="283">
        <f t="shared" si="11"/>
        <v>13027.923999999999</v>
      </c>
    </row>
    <row r="85" spans="1:19" ht="24.95" customHeight="1">
      <c r="A85" s="284" t="s">
        <v>60</v>
      </c>
      <c r="B85" s="285" t="s">
        <v>14</v>
      </c>
      <c r="C85" s="286" t="s">
        <v>288</v>
      </c>
      <c r="D85" s="279">
        <v>139457</v>
      </c>
      <c r="E85" s="279">
        <v>4473</v>
      </c>
      <c r="F85" s="279">
        <v>26893</v>
      </c>
      <c r="G85" s="279">
        <v>5684</v>
      </c>
      <c r="H85" s="279">
        <v>79758</v>
      </c>
      <c r="I85" s="279">
        <v>22649</v>
      </c>
      <c r="J85" s="279">
        <f t="shared" si="6"/>
        <v>112335</v>
      </c>
      <c r="K85" s="470">
        <v>6.3E-2</v>
      </c>
      <c r="L85" s="470">
        <v>0.24</v>
      </c>
      <c r="M85" s="471">
        <v>0.19</v>
      </c>
      <c r="N85" s="282">
        <f t="shared" si="7"/>
        <v>281.79899999999998</v>
      </c>
      <c r="O85" s="283">
        <f t="shared" si="8"/>
        <v>1694.259</v>
      </c>
      <c r="P85" s="283">
        <f t="shared" si="8"/>
        <v>1364.1599999999999</v>
      </c>
      <c r="Q85" s="283">
        <f t="shared" si="9"/>
        <v>19141.919999999998</v>
      </c>
      <c r="R85" s="283">
        <f t="shared" si="10"/>
        <v>20506.079999999998</v>
      </c>
      <c r="S85" s="283">
        <f t="shared" si="11"/>
        <v>21343.65</v>
      </c>
    </row>
    <row r="86" spans="1:19" ht="24.95" customHeight="1">
      <c r="A86" s="284" t="s">
        <v>140</v>
      </c>
      <c r="B86" s="285" t="s">
        <v>295</v>
      </c>
      <c r="C86" s="286" t="s">
        <v>289</v>
      </c>
      <c r="D86" s="279">
        <v>67359</v>
      </c>
      <c r="E86" s="279">
        <v>2092</v>
      </c>
      <c r="F86" s="279">
        <v>12116</v>
      </c>
      <c r="G86" s="279">
        <v>2422</v>
      </c>
      <c r="H86" s="279">
        <v>37394</v>
      </c>
      <c r="I86" s="279">
        <v>13335</v>
      </c>
      <c r="J86" s="279">
        <f t="shared" si="6"/>
        <v>51932</v>
      </c>
      <c r="K86" s="470">
        <v>6.2E-2</v>
      </c>
      <c r="L86" s="470">
        <v>0.23</v>
      </c>
      <c r="M86" s="471">
        <v>0.185</v>
      </c>
      <c r="N86" s="282">
        <f t="shared" si="7"/>
        <v>129.70400000000001</v>
      </c>
      <c r="O86" s="283">
        <f t="shared" si="8"/>
        <v>751.19200000000001</v>
      </c>
      <c r="P86" s="283">
        <f t="shared" si="8"/>
        <v>557.06000000000006</v>
      </c>
      <c r="Q86" s="283">
        <f t="shared" si="9"/>
        <v>8600.6200000000008</v>
      </c>
      <c r="R86" s="283">
        <f t="shared" si="10"/>
        <v>9157.68</v>
      </c>
      <c r="S86" s="283">
        <f t="shared" si="11"/>
        <v>9607.42</v>
      </c>
    </row>
    <row r="87" spans="1:19" ht="24.95" customHeight="1">
      <c r="A87" s="284" t="s">
        <v>101</v>
      </c>
      <c r="B87" s="285" t="s">
        <v>18</v>
      </c>
      <c r="C87" s="286" t="s">
        <v>289</v>
      </c>
      <c r="D87" s="279">
        <v>64717</v>
      </c>
      <c r="E87" s="279">
        <v>2438</v>
      </c>
      <c r="F87" s="279">
        <v>13517</v>
      </c>
      <c r="G87" s="279">
        <v>2651</v>
      </c>
      <c r="H87" s="279">
        <v>35662</v>
      </c>
      <c r="I87" s="279">
        <v>10449</v>
      </c>
      <c r="J87" s="279">
        <f t="shared" si="6"/>
        <v>51830</v>
      </c>
      <c r="K87" s="470">
        <v>0.1</v>
      </c>
      <c r="L87" s="470">
        <v>0.29899999999999999</v>
      </c>
      <c r="M87" s="471">
        <v>0.24</v>
      </c>
      <c r="N87" s="282">
        <f t="shared" si="7"/>
        <v>243.8</v>
      </c>
      <c r="O87" s="283">
        <f t="shared" si="8"/>
        <v>1351.7</v>
      </c>
      <c r="P87" s="283">
        <f t="shared" si="8"/>
        <v>792.649</v>
      </c>
      <c r="Q87" s="283">
        <f t="shared" si="9"/>
        <v>10662.938</v>
      </c>
      <c r="R87" s="283">
        <f t="shared" si="10"/>
        <v>11455.587</v>
      </c>
      <c r="S87" s="283">
        <f t="shared" si="11"/>
        <v>12439.199999999999</v>
      </c>
    </row>
    <row r="88" spans="1:19" ht="24.95" customHeight="1">
      <c r="A88" s="284" t="s">
        <v>102</v>
      </c>
      <c r="B88" s="285" t="s">
        <v>18</v>
      </c>
      <c r="C88" s="286" t="s">
        <v>289</v>
      </c>
      <c r="D88" s="279">
        <v>35952</v>
      </c>
      <c r="E88" s="279">
        <v>1279</v>
      </c>
      <c r="F88" s="279">
        <v>7256</v>
      </c>
      <c r="G88" s="279">
        <v>1432</v>
      </c>
      <c r="H88" s="279">
        <v>20207</v>
      </c>
      <c r="I88" s="279">
        <v>5778</v>
      </c>
      <c r="J88" s="279">
        <f t="shared" si="6"/>
        <v>28895</v>
      </c>
      <c r="K88" s="470">
        <v>6.2E-2</v>
      </c>
      <c r="L88" s="470">
        <v>0.23499999999999999</v>
      </c>
      <c r="M88" s="471">
        <v>0.183</v>
      </c>
      <c r="N88" s="282">
        <f t="shared" si="7"/>
        <v>79.298000000000002</v>
      </c>
      <c r="O88" s="283">
        <f t="shared" si="8"/>
        <v>449.87200000000001</v>
      </c>
      <c r="P88" s="283">
        <f t="shared" si="8"/>
        <v>336.52</v>
      </c>
      <c r="Q88" s="283">
        <f t="shared" si="9"/>
        <v>4748.6449999999995</v>
      </c>
      <c r="R88" s="283">
        <f t="shared" si="10"/>
        <v>5085.1649999999991</v>
      </c>
      <c r="S88" s="283">
        <f t="shared" si="11"/>
        <v>5287.7849999999999</v>
      </c>
    </row>
    <row r="89" spans="1:19" ht="24.95" customHeight="1">
      <c r="A89" s="284" t="s">
        <v>61</v>
      </c>
      <c r="B89" s="285" t="s">
        <v>14</v>
      </c>
      <c r="C89" s="286" t="s">
        <v>289</v>
      </c>
      <c r="D89" s="279">
        <v>60820</v>
      </c>
      <c r="E89" s="279">
        <v>1860</v>
      </c>
      <c r="F89" s="279">
        <v>11089</v>
      </c>
      <c r="G89" s="279">
        <v>2331</v>
      </c>
      <c r="H89" s="279">
        <v>34759</v>
      </c>
      <c r="I89" s="279">
        <v>10781</v>
      </c>
      <c r="J89" s="279">
        <f t="shared" si="6"/>
        <v>48179</v>
      </c>
      <c r="K89" s="470">
        <v>6.9000000000000006E-2</v>
      </c>
      <c r="L89" s="470">
        <v>0.222</v>
      </c>
      <c r="M89" s="471">
        <v>0.18100000000000002</v>
      </c>
      <c r="N89" s="282">
        <f t="shared" si="7"/>
        <v>128.34</v>
      </c>
      <c r="O89" s="283">
        <f t="shared" si="8"/>
        <v>765.14100000000008</v>
      </c>
      <c r="P89" s="283">
        <f t="shared" si="8"/>
        <v>517.48199999999997</v>
      </c>
      <c r="Q89" s="283">
        <f t="shared" si="9"/>
        <v>7716.4980000000005</v>
      </c>
      <c r="R89" s="283">
        <f t="shared" si="10"/>
        <v>8233.98</v>
      </c>
      <c r="S89" s="283">
        <f t="shared" si="11"/>
        <v>8720.3990000000013</v>
      </c>
    </row>
    <row r="90" spans="1:19" ht="24.95" customHeight="1">
      <c r="A90" s="284" t="s">
        <v>68</v>
      </c>
      <c r="B90" s="285" t="s">
        <v>15</v>
      </c>
      <c r="C90" s="286" t="s">
        <v>288</v>
      </c>
      <c r="D90" s="279">
        <v>46059</v>
      </c>
      <c r="E90" s="279">
        <v>1227</v>
      </c>
      <c r="F90" s="279">
        <v>7774</v>
      </c>
      <c r="G90" s="279">
        <v>1480</v>
      </c>
      <c r="H90" s="279">
        <v>27057</v>
      </c>
      <c r="I90" s="279">
        <v>8521</v>
      </c>
      <c r="J90" s="279">
        <f t="shared" si="6"/>
        <v>36311</v>
      </c>
      <c r="K90" s="470">
        <v>6.4000000000000001E-2</v>
      </c>
      <c r="L90" s="470">
        <v>0.2</v>
      </c>
      <c r="M90" s="471">
        <v>0.16500000000000001</v>
      </c>
      <c r="N90" s="282">
        <f t="shared" si="7"/>
        <v>78.528000000000006</v>
      </c>
      <c r="O90" s="283">
        <f t="shared" si="8"/>
        <v>497.536</v>
      </c>
      <c r="P90" s="283">
        <f t="shared" si="8"/>
        <v>296</v>
      </c>
      <c r="Q90" s="283">
        <f t="shared" si="9"/>
        <v>5411.4000000000005</v>
      </c>
      <c r="R90" s="283">
        <f t="shared" si="10"/>
        <v>5707.4000000000005</v>
      </c>
      <c r="S90" s="283">
        <f t="shared" si="11"/>
        <v>5991.3150000000005</v>
      </c>
    </row>
    <row r="91" spans="1:19" ht="24.95" customHeight="1">
      <c r="A91" s="284" t="s">
        <v>112</v>
      </c>
      <c r="B91" s="285" t="s">
        <v>20</v>
      </c>
      <c r="C91" s="286" t="s">
        <v>289</v>
      </c>
      <c r="D91" s="279">
        <v>73341</v>
      </c>
      <c r="E91" s="279">
        <v>2235</v>
      </c>
      <c r="F91" s="279">
        <v>13628</v>
      </c>
      <c r="G91" s="279">
        <v>3076</v>
      </c>
      <c r="H91" s="279">
        <v>40776</v>
      </c>
      <c r="I91" s="279">
        <v>13626</v>
      </c>
      <c r="J91" s="279">
        <f t="shared" si="6"/>
        <v>57480</v>
      </c>
      <c r="K91" s="470">
        <v>7.4999999999999997E-2</v>
      </c>
      <c r="L91" s="470">
        <v>0.251</v>
      </c>
      <c r="M91" s="471">
        <v>0.20199999999999999</v>
      </c>
      <c r="N91" s="282">
        <f t="shared" si="7"/>
        <v>167.625</v>
      </c>
      <c r="O91" s="283">
        <f t="shared" si="8"/>
        <v>1022.0999999999999</v>
      </c>
      <c r="P91" s="283">
        <f t="shared" si="8"/>
        <v>772.07600000000002</v>
      </c>
      <c r="Q91" s="283">
        <f t="shared" si="9"/>
        <v>10234.776</v>
      </c>
      <c r="R91" s="283">
        <f t="shared" si="10"/>
        <v>11006.851999999999</v>
      </c>
      <c r="S91" s="283">
        <f t="shared" si="11"/>
        <v>11610.96</v>
      </c>
    </row>
    <row r="92" spans="1:19" ht="24.95" customHeight="1">
      <c r="A92" s="284" t="s">
        <v>141</v>
      </c>
      <c r="B92" s="285" t="s">
        <v>295</v>
      </c>
      <c r="C92" s="286" t="s">
        <v>289</v>
      </c>
      <c r="D92" s="279">
        <v>14901</v>
      </c>
      <c r="E92" s="279">
        <v>624</v>
      </c>
      <c r="F92" s="279">
        <v>2882</v>
      </c>
      <c r="G92" s="279">
        <v>509</v>
      </c>
      <c r="H92" s="279">
        <v>8174</v>
      </c>
      <c r="I92" s="279">
        <v>2712</v>
      </c>
      <c r="J92" s="279">
        <f t="shared" si="6"/>
        <v>11565</v>
      </c>
      <c r="K92" s="470">
        <v>0.1</v>
      </c>
      <c r="L92" s="470">
        <v>0.27399999999999997</v>
      </c>
      <c r="M92" s="471">
        <v>0.22500000000000001</v>
      </c>
      <c r="N92" s="282">
        <f t="shared" si="7"/>
        <v>62.400000000000006</v>
      </c>
      <c r="O92" s="283">
        <f t="shared" si="8"/>
        <v>288.2</v>
      </c>
      <c r="P92" s="283">
        <f t="shared" si="8"/>
        <v>139.46599999999998</v>
      </c>
      <c r="Q92" s="283">
        <f t="shared" si="9"/>
        <v>2239.6759999999999</v>
      </c>
      <c r="R92" s="283">
        <f t="shared" si="10"/>
        <v>2379.1419999999998</v>
      </c>
      <c r="S92" s="283">
        <f t="shared" si="11"/>
        <v>2602.125</v>
      </c>
    </row>
    <row r="93" spans="1:19" ht="24.95" customHeight="1">
      <c r="A93" s="284" t="s">
        <v>142</v>
      </c>
      <c r="B93" s="285" t="s">
        <v>295</v>
      </c>
      <c r="C93" s="286" t="s">
        <v>289</v>
      </c>
      <c r="D93" s="279">
        <v>33333</v>
      </c>
      <c r="E93" s="279">
        <v>867</v>
      </c>
      <c r="F93" s="279">
        <v>4759</v>
      </c>
      <c r="G93" s="279">
        <v>1310</v>
      </c>
      <c r="H93" s="279">
        <v>16621</v>
      </c>
      <c r="I93" s="279">
        <v>9776</v>
      </c>
      <c r="J93" s="279">
        <f t="shared" si="6"/>
        <v>22690</v>
      </c>
      <c r="K93" s="470">
        <v>0.08</v>
      </c>
      <c r="L93" s="470">
        <v>0.24100000000000002</v>
      </c>
      <c r="M93" s="471">
        <v>0.20199999999999999</v>
      </c>
      <c r="N93" s="282">
        <f t="shared" si="7"/>
        <v>69.36</v>
      </c>
      <c r="O93" s="283">
        <f t="shared" si="8"/>
        <v>380.72</v>
      </c>
      <c r="P93" s="283">
        <f t="shared" si="8"/>
        <v>315.71000000000004</v>
      </c>
      <c r="Q93" s="283">
        <f t="shared" si="9"/>
        <v>4005.6610000000005</v>
      </c>
      <c r="R93" s="283">
        <f t="shared" si="10"/>
        <v>4321.371000000001</v>
      </c>
      <c r="S93" s="283">
        <f t="shared" si="11"/>
        <v>4583.38</v>
      </c>
    </row>
    <row r="94" spans="1:19" ht="24.95" customHeight="1">
      <c r="A94" s="284" t="s">
        <v>91</v>
      </c>
      <c r="B94" s="285" t="s">
        <v>482</v>
      </c>
      <c r="C94" s="286" t="s">
        <v>289</v>
      </c>
      <c r="D94" s="279">
        <v>4084</v>
      </c>
      <c r="E94" s="279">
        <v>119</v>
      </c>
      <c r="F94" s="279">
        <v>621</v>
      </c>
      <c r="G94" s="279">
        <v>94</v>
      </c>
      <c r="H94" s="279">
        <v>2472</v>
      </c>
      <c r="I94" s="279">
        <v>778</v>
      </c>
      <c r="J94" s="279">
        <f t="shared" si="6"/>
        <v>3187</v>
      </c>
      <c r="K94" s="470">
        <v>0.105</v>
      </c>
      <c r="L94" s="470">
        <v>0.29499999999999998</v>
      </c>
      <c r="M94" s="471">
        <v>0.245</v>
      </c>
      <c r="N94" s="282">
        <f t="shared" si="7"/>
        <v>12.494999999999999</v>
      </c>
      <c r="O94" s="283">
        <f t="shared" si="8"/>
        <v>65.204999999999998</v>
      </c>
      <c r="P94" s="283">
        <f t="shared" si="8"/>
        <v>27.729999999999997</v>
      </c>
      <c r="Q94" s="283">
        <f t="shared" si="9"/>
        <v>729.24</v>
      </c>
      <c r="R94" s="283">
        <f t="shared" si="10"/>
        <v>756.97</v>
      </c>
      <c r="S94" s="283">
        <f t="shared" si="11"/>
        <v>780.81499999999994</v>
      </c>
    </row>
    <row r="95" spans="1:19" ht="24.95" customHeight="1">
      <c r="A95" s="284" t="s">
        <v>62</v>
      </c>
      <c r="B95" s="285" t="s">
        <v>14</v>
      </c>
      <c r="C95" s="286" t="s">
        <v>288</v>
      </c>
      <c r="D95" s="279">
        <v>219212</v>
      </c>
      <c r="E95" s="279">
        <v>7767</v>
      </c>
      <c r="F95" s="279">
        <v>51403</v>
      </c>
      <c r="G95" s="279">
        <v>9675</v>
      </c>
      <c r="H95" s="279">
        <v>124697</v>
      </c>
      <c r="I95" s="279">
        <v>25670</v>
      </c>
      <c r="J95" s="279">
        <f t="shared" si="6"/>
        <v>185775</v>
      </c>
      <c r="K95" s="470">
        <v>7.5999999999999998E-2</v>
      </c>
      <c r="L95" s="470">
        <v>0.20399999999999999</v>
      </c>
      <c r="M95" s="471">
        <v>0.161</v>
      </c>
      <c r="N95" s="282">
        <f t="shared" si="7"/>
        <v>590.29200000000003</v>
      </c>
      <c r="O95" s="283">
        <f t="shared" si="8"/>
        <v>3906.6279999999997</v>
      </c>
      <c r="P95" s="283">
        <f t="shared" si="8"/>
        <v>1973.6999999999998</v>
      </c>
      <c r="Q95" s="283">
        <f t="shared" si="9"/>
        <v>25438.187999999998</v>
      </c>
      <c r="R95" s="283">
        <f t="shared" si="10"/>
        <v>27411.887999999999</v>
      </c>
      <c r="S95" s="283">
        <f t="shared" si="11"/>
        <v>29909.775000000001</v>
      </c>
    </row>
    <row r="96" spans="1:19" ht="24.95" customHeight="1">
      <c r="A96" s="284" t="s">
        <v>63</v>
      </c>
      <c r="B96" s="285" t="s">
        <v>14</v>
      </c>
      <c r="C96" s="286" t="s">
        <v>289</v>
      </c>
      <c r="D96" s="279">
        <v>44849</v>
      </c>
      <c r="E96" s="279">
        <v>1579</v>
      </c>
      <c r="F96" s="279">
        <v>9142</v>
      </c>
      <c r="G96" s="279">
        <v>1738</v>
      </c>
      <c r="H96" s="279">
        <v>24971</v>
      </c>
      <c r="I96" s="279">
        <v>7419</v>
      </c>
      <c r="J96" s="279">
        <f t="shared" si="6"/>
        <v>35851</v>
      </c>
      <c r="K96" s="470">
        <v>5.9000000000000004E-2</v>
      </c>
      <c r="L96" s="470">
        <v>0.22899999999999998</v>
      </c>
      <c r="M96" s="471">
        <v>0.18</v>
      </c>
      <c r="N96" s="282">
        <f t="shared" si="7"/>
        <v>93.161000000000001</v>
      </c>
      <c r="O96" s="283">
        <f t="shared" si="8"/>
        <v>539.37800000000004</v>
      </c>
      <c r="P96" s="283">
        <f t="shared" si="8"/>
        <v>398.00199999999995</v>
      </c>
      <c r="Q96" s="283">
        <f t="shared" si="9"/>
        <v>5718.3589999999995</v>
      </c>
      <c r="R96" s="283">
        <f t="shared" si="10"/>
        <v>6116.360999999999</v>
      </c>
      <c r="S96" s="283">
        <f t="shared" si="11"/>
        <v>6453.1799999999994</v>
      </c>
    </row>
    <row r="97" spans="1:19" ht="24.95" customHeight="1">
      <c r="A97" s="284" t="s">
        <v>49</v>
      </c>
      <c r="B97" s="285" t="s">
        <v>13</v>
      </c>
      <c r="C97" s="286" t="s">
        <v>288</v>
      </c>
      <c r="D97" s="279">
        <v>1004455</v>
      </c>
      <c r="E97" s="279">
        <v>37161</v>
      </c>
      <c r="F97" s="279">
        <v>210151</v>
      </c>
      <c r="G97" s="279">
        <v>40157</v>
      </c>
      <c r="H97" s="279">
        <v>612147</v>
      </c>
      <c r="I97" s="279">
        <v>104839</v>
      </c>
      <c r="J97" s="279">
        <f t="shared" si="6"/>
        <v>862455</v>
      </c>
      <c r="K97" s="470">
        <v>5.7999999999999996E-2</v>
      </c>
      <c r="L97" s="470">
        <v>0.18</v>
      </c>
      <c r="M97" s="471">
        <v>0.14400000000000002</v>
      </c>
      <c r="N97" s="282">
        <f t="shared" si="7"/>
        <v>2155.3379999999997</v>
      </c>
      <c r="O97" s="283">
        <f t="shared" si="8"/>
        <v>12188.758</v>
      </c>
      <c r="P97" s="283">
        <f t="shared" si="8"/>
        <v>7228.2599999999993</v>
      </c>
      <c r="Q97" s="283">
        <f t="shared" si="9"/>
        <v>110186.45999999999</v>
      </c>
      <c r="R97" s="283">
        <f t="shared" si="10"/>
        <v>117414.71999999999</v>
      </c>
      <c r="S97" s="283">
        <f t="shared" si="11"/>
        <v>124193.52000000002</v>
      </c>
    </row>
    <row r="98" spans="1:19" ht="24.95" customHeight="1">
      <c r="A98" s="276" t="s">
        <v>64</v>
      </c>
      <c r="B98" s="277" t="s">
        <v>14</v>
      </c>
      <c r="C98" s="278" t="s">
        <v>289</v>
      </c>
      <c r="D98" s="279">
        <v>20282</v>
      </c>
      <c r="E98" s="279">
        <v>511</v>
      </c>
      <c r="F98" s="279">
        <v>3288</v>
      </c>
      <c r="G98" s="279">
        <v>548</v>
      </c>
      <c r="H98" s="279">
        <v>11422</v>
      </c>
      <c r="I98" s="279">
        <v>4513</v>
      </c>
      <c r="J98" s="279">
        <f t="shared" si="6"/>
        <v>15258</v>
      </c>
      <c r="K98" s="470">
        <v>8.1000000000000003E-2</v>
      </c>
      <c r="L98" s="470">
        <v>0.245</v>
      </c>
      <c r="M98" s="471">
        <v>0.20199999999999999</v>
      </c>
      <c r="N98" s="282">
        <f t="shared" si="7"/>
        <v>41.390999999999998</v>
      </c>
      <c r="O98" s="283">
        <f t="shared" si="8"/>
        <v>266.32800000000003</v>
      </c>
      <c r="P98" s="283">
        <f t="shared" si="8"/>
        <v>134.26</v>
      </c>
      <c r="Q98" s="283">
        <f t="shared" si="9"/>
        <v>2798.39</v>
      </c>
      <c r="R98" s="283">
        <f t="shared" si="10"/>
        <v>2932.6499999999996</v>
      </c>
      <c r="S98" s="283">
        <f t="shared" si="11"/>
        <v>3082.116</v>
      </c>
    </row>
    <row r="99" spans="1:19" ht="24.95" customHeight="1">
      <c r="A99" s="276" t="s">
        <v>92</v>
      </c>
      <c r="B99" s="277" t="s">
        <v>482</v>
      </c>
      <c r="C99" s="278" t="s">
        <v>289</v>
      </c>
      <c r="D99" s="279">
        <v>12691</v>
      </c>
      <c r="E99" s="279">
        <v>403</v>
      </c>
      <c r="F99" s="279">
        <v>2366</v>
      </c>
      <c r="G99" s="279">
        <v>360</v>
      </c>
      <c r="H99" s="279">
        <v>6856</v>
      </c>
      <c r="I99" s="279">
        <v>2706</v>
      </c>
      <c r="J99" s="279">
        <f t="shared" si="6"/>
        <v>9582</v>
      </c>
      <c r="K99" s="470">
        <v>6.9000000000000006E-2</v>
      </c>
      <c r="L99" s="470">
        <v>0.21</v>
      </c>
      <c r="M99" s="471">
        <v>0.17100000000000001</v>
      </c>
      <c r="N99" s="282">
        <f t="shared" si="7"/>
        <v>27.807000000000002</v>
      </c>
      <c r="O99" s="283">
        <f t="shared" si="8"/>
        <v>163.25400000000002</v>
      </c>
      <c r="P99" s="283">
        <f t="shared" si="8"/>
        <v>75.599999999999994</v>
      </c>
      <c r="Q99" s="283">
        <f t="shared" si="9"/>
        <v>1439.76</v>
      </c>
      <c r="R99" s="283">
        <f t="shared" si="10"/>
        <v>1515.36</v>
      </c>
      <c r="S99" s="283">
        <f t="shared" si="11"/>
        <v>1638.5220000000002</v>
      </c>
    </row>
    <row r="100" spans="1:19" ht="24.95" customHeight="1">
      <c r="A100" s="276" t="s">
        <v>143</v>
      </c>
      <c r="B100" s="277" t="s">
        <v>295</v>
      </c>
      <c r="C100" s="278" t="s">
        <v>289</v>
      </c>
      <c r="D100" s="279">
        <v>53219</v>
      </c>
      <c r="E100" s="279">
        <v>992</v>
      </c>
      <c r="F100" s="279">
        <v>5875</v>
      </c>
      <c r="G100" s="279">
        <v>8541</v>
      </c>
      <c r="H100" s="279">
        <v>29862</v>
      </c>
      <c r="I100" s="279">
        <v>7949</v>
      </c>
      <c r="J100" s="279">
        <f t="shared" si="6"/>
        <v>44278</v>
      </c>
      <c r="K100" s="470">
        <v>7.8E-2</v>
      </c>
      <c r="L100" s="470">
        <v>0.21</v>
      </c>
      <c r="M100" s="471">
        <v>0.18600000000000003</v>
      </c>
      <c r="N100" s="282">
        <f t="shared" si="7"/>
        <v>77.376000000000005</v>
      </c>
      <c r="O100" s="283">
        <f t="shared" si="8"/>
        <v>458.25</v>
      </c>
      <c r="P100" s="283">
        <f t="shared" si="8"/>
        <v>1793.61</v>
      </c>
      <c r="Q100" s="283">
        <f t="shared" si="9"/>
        <v>6271.0199999999995</v>
      </c>
      <c r="R100" s="283">
        <f t="shared" si="10"/>
        <v>8064.6299999999992</v>
      </c>
      <c r="S100" s="283">
        <f t="shared" si="11"/>
        <v>8235.7080000000005</v>
      </c>
    </row>
    <row r="101" spans="1:19" ht="24.95" customHeight="1">
      <c r="A101" s="276" t="s">
        <v>103</v>
      </c>
      <c r="B101" s="277" t="s">
        <v>18</v>
      </c>
      <c r="C101" s="278" t="s">
        <v>288</v>
      </c>
      <c r="D101" s="279">
        <v>125936</v>
      </c>
      <c r="E101" s="279">
        <v>4870</v>
      </c>
      <c r="F101" s="279">
        <v>25736</v>
      </c>
      <c r="G101" s="279">
        <v>5091</v>
      </c>
      <c r="H101" s="279">
        <v>71651</v>
      </c>
      <c r="I101" s="279">
        <v>18588</v>
      </c>
      <c r="J101" s="279">
        <f t="shared" si="6"/>
        <v>102478</v>
      </c>
      <c r="K101" s="470">
        <v>6.9000000000000006E-2</v>
      </c>
      <c r="L101" s="470">
        <v>0.22899999999999998</v>
      </c>
      <c r="M101" s="471">
        <v>0.182</v>
      </c>
      <c r="N101" s="282">
        <f t="shared" si="7"/>
        <v>336.03000000000003</v>
      </c>
      <c r="O101" s="283">
        <f t="shared" si="8"/>
        <v>1775.7840000000001</v>
      </c>
      <c r="P101" s="283">
        <f t="shared" si="8"/>
        <v>1165.8389999999999</v>
      </c>
      <c r="Q101" s="283">
        <f t="shared" si="9"/>
        <v>16408.078999999998</v>
      </c>
      <c r="R101" s="283">
        <f t="shared" si="10"/>
        <v>17573.917999999998</v>
      </c>
      <c r="S101" s="283">
        <f t="shared" si="11"/>
        <v>18650.995999999999</v>
      </c>
    </row>
    <row r="102" spans="1:19" ht="24.95" customHeight="1">
      <c r="A102" s="276" t="s">
        <v>144</v>
      </c>
      <c r="B102" s="277" t="s">
        <v>295</v>
      </c>
      <c r="C102" s="278" t="s">
        <v>289</v>
      </c>
      <c r="D102" s="279">
        <v>69784</v>
      </c>
      <c r="E102" s="279">
        <v>2032</v>
      </c>
      <c r="F102" s="279">
        <v>12480</v>
      </c>
      <c r="G102" s="279">
        <v>2461</v>
      </c>
      <c r="H102" s="279">
        <v>39038</v>
      </c>
      <c r="I102" s="279">
        <v>13773</v>
      </c>
      <c r="J102" s="279">
        <f t="shared" si="6"/>
        <v>53979</v>
      </c>
      <c r="K102" s="470">
        <v>7.400000000000001E-2</v>
      </c>
      <c r="L102" s="470">
        <v>0.253</v>
      </c>
      <c r="M102" s="471">
        <v>0.20499999999999999</v>
      </c>
      <c r="N102" s="282">
        <f t="shared" si="7"/>
        <v>150.36800000000002</v>
      </c>
      <c r="O102" s="283">
        <f t="shared" si="8"/>
        <v>923.5200000000001</v>
      </c>
      <c r="P102" s="283">
        <f t="shared" si="8"/>
        <v>622.63300000000004</v>
      </c>
      <c r="Q102" s="283">
        <f t="shared" si="9"/>
        <v>9876.6139999999996</v>
      </c>
      <c r="R102" s="283">
        <f t="shared" si="10"/>
        <v>10499.246999999999</v>
      </c>
      <c r="S102" s="283">
        <f t="shared" si="11"/>
        <v>11065.695</v>
      </c>
    </row>
    <row r="103" spans="1:19" ht="24.95" customHeight="1">
      <c r="A103" s="276" t="s">
        <v>104</v>
      </c>
      <c r="B103" s="277" t="s">
        <v>18</v>
      </c>
      <c r="C103" s="278" t="s">
        <v>289</v>
      </c>
      <c r="D103" s="279">
        <v>83044</v>
      </c>
      <c r="E103" s="279">
        <v>2740</v>
      </c>
      <c r="F103" s="279">
        <v>16635</v>
      </c>
      <c r="G103" s="279">
        <v>3027</v>
      </c>
      <c r="H103" s="279">
        <v>47030</v>
      </c>
      <c r="I103" s="279">
        <v>13612</v>
      </c>
      <c r="J103" s="279">
        <f t="shared" si="6"/>
        <v>66692</v>
      </c>
      <c r="K103" s="470">
        <v>7.6999999999999999E-2</v>
      </c>
      <c r="L103" s="470">
        <v>0.251</v>
      </c>
      <c r="M103" s="471">
        <v>0.20100000000000001</v>
      </c>
      <c r="N103" s="282">
        <f t="shared" si="7"/>
        <v>210.98</v>
      </c>
      <c r="O103" s="283">
        <f t="shared" si="8"/>
        <v>1280.895</v>
      </c>
      <c r="P103" s="283">
        <f t="shared" si="8"/>
        <v>759.77700000000004</v>
      </c>
      <c r="Q103" s="283">
        <f t="shared" si="9"/>
        <v>11804.53</v>
      </c>
      <c r="R103" s="283">
        <f t="shared" si="10"/>
        <v>12564.307000000001</v>
      </c>
      <c r="S103" s="283">
        <f t="shared" si="11"/>
        <v>13405.092000000001</v>
      </c>
    </row>
    <row r="104" spans="1:19" ht="24.95" customHeight="1">
      <c r="A104" s="276" t="s">
        <v>113</v>
      </c>
      <c r="B104" s="277" t="s">
        <v>20</v>
      </c>
      <c r="C104" s="278" t="s">
        <v>288</v>
      </c>
      <c r="D104" s="279">
        <v>37885</v>
      </c>
      <c r="E104" s="279">
        <v>1227</v>
      </c>
      <c r="F104" s="279">
        <v>6958</v>
      </c>
      <c r="G104" s="279">
        <v>1413</v>
      </c>
      <c r="H104" s="279">
        <v>21319</v>
      </c>
      <c r="I104" s="279">
        <v>6968</v>
      </c>
      <c r="J104" s="279">
        <f t="shared" si="6"/>
        <v>29690</v>
      </c>
      <c r="K104" s="470">
        <v>8.8000000000000009E-2</v>
      </c>
      <c r="L104" s="470">
        <v>0.245</v>
      </c>
      <c r="M104" s="471">
        <v>0.20199999999999999</v>
      </c>
      <c r="N104" s="282">
        <f t="shared" si="7"/>
        <v>107.97600000000001</v>
      </c>
      <c r="O104" s="283">
        <f t="shared" si="8"/>
        <v>612.30400000000009</v>
      </c>
      <c r="P104" s="283">
        <f t="shared" si="8"/>
        <v>346.185</v>
      </c>
      <c r="Q104" s="283">
        <f t="shared" si="9"/>
        <v>5223.1549999999997</v>
      </c>
      <c r="R104" s="283">
        <f t="shared" si="10"/>
        <v>5569.34</v>
      </c>
      <c r="S104" s="283">
        <f t="shared" si="11"/>
        <v>5997.3799999999992</v>
      </c>
    </row>
    <row r="105" spans="1:19" ht="24.95" customHeight="1">
      <c r="A105" s="276" t="s">
        <v>145</v>
      </c>
      <c r="B105" s="277" t="s">
        <v>295</v>
      </c>
      <c r="C105" s="278" t="s">
        <v>289</v>
      </c>
      <c r="D105" s="279">
        <v>17962</v>
      </c>
      <c r="E105" s="279">
        <v>514</v>
      </c>
      <c r="F105" s="279">
        <v>2853</v>
      </c>
      <c r="G105" s="279">
        <v>535</v>
      </c>
      <c r="H105" s="279">
        <v>9844</v>
      </c>
      <c r="I105" s="279">
        <v>4216</v>
      </c>
      <c r="J105" s="279">
        <f t="shared" si="6"/>
        <v>13232</v>
      </c>
      <c r="K105" s="470">
        <v>0.09</v>
      </c>
      <c r="L105" s="470">
        <v>0.24299999999999999</v>
      </c>
      <c r="M105" s="472">
        <v>0.20399999999999999</v>
      </c>
      <c r="N105" s="282">
        <f t="shared" si="7"/>
        <v>46.26</v>
      </c>
      <c r="O105" s="283">
        <f t="shared" si="8"/>
        <v>256.77</v>
      </c>
      <c r="P105" s="283">
        <f t="shared" si="8"/>
        <v>130.005</v>
      </c>
      <c r="Q105" s="283">
        <f t="shared" si="9"/>
        <v>2392.0920000000001</v>
      </c>
      <c r="R105" s="283">
        <f t="shared" si="10"/>
        <v>2522.0970000000002</v>
      </c>
      <c r="S105" s="283">
        <f t="shared" si="11"/>
        <v>2699.328</v>
      </c>
    </row>
    <row r="106" spans="1:19" ht="20.100000000000001" customHeight="1">
      <c r="D106" s="290"/>
      <c r="E106" s="290"/>
      <c r="F106" s="290"/>
      <c r="G106" s="290"/>
      <c r="H106" s="290"/>
      <c r="I106" s="291"/>
      <c r="J106" s="291"/>
      <c r="K106" s="473"/>
      <c r="L106" s="473"/>
      <c r="M106" s="474"/>
      <c r="N106" s="295"/>
      <c r="O106" s="295"/>
      <c r="P106" s="295"/>
      <c r="Q106" s="295"/>
      <c r="R106" s="295"/>
      <c r="S106" s="290"/>
    </row>
    <row r="107" spans="1:19" ht="24.95" customHeight="1">
      <c r="A107" s="296" t="s">
        <v>291</v>
      </c>
      <c r="B107" s="269"/>
      <c r="C107" s="270"/>
      <c r="D107" s="297">
        <f t="shared" ref="D107:J107" si="12">SUM(D6:D105)</f>
        <v>10054192</v>
      </c>
      <c r="E107" s="297">
        <f t="shared" si="12"/>
        <v>353258</v>
      </c>
      <c r="F107" s="297">
        <f t="shared" si="12"/>
        <v>1943114</v>
      </c>
      <c r="G107" s="297">
        <f t="shared" si="12"/>
        <v>432455</v>
      </c>
      <c r="H107" s="297">
        <f t="shared" si="12"/>
        <v>5820202</v>
      </c>
      <c r="I107" s="297">
        <f t="shared" si="12"/>
        <v>1505163</v>
      </c>
      <c r="J107" s="297">
        <f t="shared" si="12"/>
        <v>8195771</v>
      </c>
      <c r="K107" s="468">
        <v>6.9000000000000006E-2</v>
      </c>
      <c r="L107" s="468">
        <v>0.22500000000000001</v>
      </c>
      <c r="M107" s="468">
        <v>0.18100000000000002</v>
      </c>
      <c r="N107" s="275">
        <f t="shared" ref="N107:S107" si="13">SUM(N6:N105)</f>
        <v>24382.456999999984</v>
      </c>
      <c r="O107" s="275">
        <f t="shared" si="13"/>
        <v>134601.011</v>
      </c>
      <c r="P107" s="275">
        <f t="shared" ref="P107" si="14">SUM(P6:P105)</f>
        <v>96870.887000000017</v>
      </c>
      <c r="Q107" s="275">
        <f t="shared" si="13"/>
        <v>1307069.3260000004</v>
      </c>
      <c r="R107" s="275">
        <f t="shared" si="13"/>
        <v>1403940.2129999998</v>
      </c>
      <c r="S107" s="297">
        <f t="shared" si="13"/>
        <v>1482472.2769999991</v>
      </c>
    </row>
    <row r="108" spans="1:19">
      <c r="N108" s="301">
        <f>N107/E107</f>
        <v>6.9021669714486256E-2</v>
      </c>
      <c r="O108" s="301">
        <f>O107/F107</f>
        <v>6.9270774128538007E-2</v>
      </c>
      <c r="P108" s="301">
        <f>P107/G107</f>
        <v>0.22400223607080511</v>
      </c>
      <c r="Q108" s="301">
        <f>Q107/H107</f>
        <v>0.22457456390688851</v>
      </c>
      <c r="R108" s="301">
        <f>R107/SUM(G107:H107)</f>
        <v>0.2245349797694004</v>
      </c>
      <c r="S108" s="301">
        <f>S107/J107</f>
        <v>0.18088258895959869</v>
      </c>
    </row>
    <row r="109" spans="1:19" ht="20.100000000000001" customHeight="1">
      <c r="A109" s="482" t="s">
        <v>505</v>
      </c>
    </row>
    <row r="110" spans="1:19" ht="39.950000000000003" customHeight="1">
      <c r="A110" s="524" t="s">
        <v>504</v>
      </c>
      <c r="B110" s="524"/>
      <c r="C110" s="524"/>
      <c r="D110" s="524"/>
      <c r="E110" s="524"/>
      <c r="F110" s="524"/>
      <c r="G110" s="524"/>
      <c r="H110" s="524"/>
      <c r="I110" s="524"/>
      <c r="J110" s="524"/>
      <c r="K110" s="524"/>
      <c r="L110" s="524"/>
      <c r="M110" s="524"/>
      <c r="N110" s="524"/>
      <c r="O110" s="524"/>
      <c r="P110" s="524"/>
      <c r="Q110" s="524"/>
      <c r="R110" s="524"/>
      <c r="S110" s="524"/>
    </row>
    <row r="111" spans="1:19" ht="90" customHeight="1">
      <c r="A111" s="524" t="s">
        <v>503</v>
      </c>
      <c r="B111" s="524"/>
      <c r="C111" s="524"/>
      <c r="D111" s="524"/>
      <c r="E111" s="524"/>
      <c r="F111" s="524"/>
      <c r="G111" s="524"/>
      <c r="H111" s="524"/>
      <c r="I111" s="524"/>
      <c r="J111" s="524"/>
      <c r="K111" s="524"/>
      <c r="L111" s="524"/>
      <c r="M111" s="524"/>
      <c r="N111" s="524"/>
      <c r="O111" s="524"/>
      <c r="P111" s="524"/>
      <c r="Q111" s="524"/>
      <c r="R111" s="524"/>
      <c r="S111" s="524"/>
    </row>
  </sheetData>
  <sheetProtection sheet="1" objects="1" scenarios="1"/>
  <autoFilter ref="A5:S107"/>
  <mergeCells count="2">
    <mergeCell ref="A110:S110"/>
    <mergeCell ref="A111:S111"/>
  </mergeCells>
  <printOptions horizontalCentered="1"/>
  <pageMargins left="0.3" right="0.3" top="0.5" bottom="0.5" header="0.3" footer="0.3"/>
  <pageSetup paperSize="5" scale="52" fitToWidth="2"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R125"/>
  <sheetViews>
    <sheetView workbookViewId="0">
      <pane ySplit="4" topLeftCell="A5" activePane="bottomLeft" state="frozen"/>
      <selection activeCell="B88" sqref="B88"/>
      <selection pane="bottomLeft" activeCell="G22" sqref="G22"/>
    </sheetView>
  </sheetViews>
  <sheetFormatPr defaultRowHeight="12.75"/>
  <cols>
    <col min="1" max="1" width="46.5703125" style="477" bestFit="1" customWidth="1"/>
    <col min="2" max="2" width="18.7109375" style="480" customWidth="1"/>
    <col min="3" max="4" width="18.7109375" style="477" customWidth="1"/>
    <col min="5" max="5" width="21.42578125" style="477" bestFit="1" customWidth="1"/>
    <col min="6" max="16384" width="9.140625" style="477"/>
  </cols>
  <sheetData>
    <row r="1" spans="1:5" ht="18">
      <c r="A1" s="475" t="s">
        <v>551</v>
      </c>
      <c r="B1" s="476"/>
      <c r="C1" s="476"/>
      <c r="D1" s="476"/>
      <c r="E1" s="476"/>
    </row>
    <row r="2" spans="1:5" ht="25.5">
      <c r="A2" s="478" t="s">
        <v>500</v>
      </c>
      <c r="B2" s="479"/>
      <c r="C2" s="479"/>
      <c r="D2" s="479"/>
      <c r="E2" s="479"/>
    </row>
    <row r="4" spans="1:5" ht="38.25">
      <c r="A4" s="458" t="s">
        <v>306</v>
      </c>
      <c r="B4" s="481" t="s">
        <v>487</v>
      </c>
      <c r="C4" s="483" t="s">
        <v>488</v>
      </c>
      <c r="D4" s="481" t="s">
        <v>489</v>
      </c>
      <c r="E4" s="481" t="s">
        <v>490</v>
      </c>
    </row>
    <row r="5" spans="1:5">
      <c r="A5" s="309" t="s">
        <v>13</v>
      </c>
      <c r="B5" s="310">
        <v>23299.423999999999</v>
      </c>
      <c r="C5" s="310">
        <v>15142.038</v>
      </c>
      <c r="D5" s="310">
        <v>213809.00099999999</v>
      </c>
      <c r="E5" s="310">
        <v>242664.69100000002</v>
      </c>
    </row>
    <row r="6" spans="1:5">
      <c r="A6" s="459" t="s">
        <v>46</v>
      </c>
      <c r="B6" s="460">
        <v>4056.58</v>
      </c>
      <c r="C6" s="460">
        <v>3129.6000000000004</v>
      </c>
      <c r="D6" s="460">
        <v>38664</v>
      </c>
      <c r="E6" s="460">
        <v>44387.667999999998</v>
      </c>
    </row>
    <row r="7" spans="1:5">
      <c r="A7" s="461" t="s">
        <v>47</v>
      </c>
      <c r="B7" s="462">
        <v>3866.07</v>
      </c>
      <c r="C7" s="462">
        <v>3046.68</v>
      </c>
      <c r="D7" s="462">
        <v>39082.784999999996</v>
      </c>
      <c r="E7" s="462">
        <v>44531.15</v>
      </c>
    </row>
    <row r="8" spans="1:5">
      <c r="A8" s="461" t="s">
        <v>48</v>
      </c>
      <c r="B8" s="462">
        <v>3188.0160000000001</v>
      </c>
      <c r="C8" s="462">
        <v>1737.4980000000003</v>
      </c>
      <c r="D8" s="462">
        <v>25875.756000000001</v>
      </c>
      <c r="E8" s="462">
        <v>29552.352999999999</v>
      </c>
    </row>
    <row r="9" spans="1:5">
      <c r="A9" s="461" t="s">
        <v>49</v>
      </c>
      <c r="B9" s="462">
        <v>12188.758</v>
      </c>
      <c r="C9" s="462">
        <v>7228.2599999999993</v>
      </c>
      <c r="D9" s="462">
        <v>110186.45999999999</v>
      </c>
      <c r="E9" s="462">
        <v>124193.52000000002</v>
      </c>
    </row>
    <row r="10" spans="1:5">
      <c r="A10" s="307"/>
      <c r="B10" s="308"/>
      <c r="C10" s="308"/>
      <c r="D10" s="308"/>
      <c r="E10" s="308"/>
    </row>
    <row r="11" spans="1:5">
      <c r="A11" s="309" t="s">
        <v>14</v>
      </c>
      <c r="B11" s="310">
        <v>34938.134999999995</v>
      </c>
      <c r="C11" s="310">
        <v>22012.832999999999</v>
      </c>
      <c r="D11" s="310">
        <v>326263.44500000001</v>
      </c>
      <c r="E11" s="310">
        <v>368758.59799999994</v>
      </c>
    </row>
    <row r="12" spans="1:5">
      <c r="A12" s="459" t="s">
        <v>50</v>
      </c>
      <c r="B12" s="460">
        <v>2134.0800000000004</v>
      </c>
      <c r="C12" s="460">
        <v>1874.9880000000001</v>
      </c>
      <c r="D12" s="460">
        <v>21199.077000000001</v>
      </c>
      <c r="E12" s="460">
        <v>24296.025000000001</v>
      </c>
    </row>
    <row r="13" spans="1:5">
      <c r="A13" s="461" t="s">
        <v>51</v>
      </c>
      <c r="B13" s="462">
        <v>3022.8480000000004</v>
      </c>
      <c r="C13" s="462">
        <v>1544.8799999999999</v>
      </c>
      <c r="D13" s="462">
        <v>22811.989999999998</v>
      </c>
      <c r="E13" s="462">
        <v>26370.871999999996</v>
      </c>
    </row>
    <row r="14" spans="1:5">
      <c r="A14" s="461" t="s">
        <v>52</v>
      </c>
      <c r="B14" s="462">
        <v>265.3</v>
      </c>
      <c r="C14" s="462">
        <v>157.23499999999999</v>
      </c>
      <c r="D14" s="462">
        <v>2906.6949999999997</v>
      </c>
      <c r="E14" s="462">
        <v>3185.1200000000003</v>
      </c>
    </row>
    <row r="15" spans="1:5">
      <c r="A15" s="461" t="s">
        <v>53</v>
      </c>
      <c r="B15" s="462">
        <v>1071.2930000000001</v>
      </c>
      <c r="C15" s="462">
        <v>477.45599999999996</v>
      </c>
      <c r="D15" s="462">
        <v>8796.0479999999989</v>
      </c>
      <c r="E15" s="462">
        <v>10037.737000000001</v>
      </c>
    </row>
    <row r="16" spans="1:5">
      <c r="A16" s="461" t="s">
        <v>54</v>
      </c>
      <c r="B16" s="462">
        <v>1909.9099999999999</v>
      </c>
      <c r="C16" s="462">
        <v>1266.6959999999999</v>
      </c>
      <c r="D16" s="462">
        <v>20700.974999999999</v>
      </c>
      <c r="E16" s="462">
        <v>23033.324999999997</v>
      </c>
    </row>
    <row r="17" spans="1:5">
      <c r="A17" s="461" t="s">
        <v>55</v>
      </c>
      <c r="B17" s="462">
        <v>1028.8539999999998</v>
      </c>
      <c r="C17" s="462">
        <v>591.07799999999997</v>
      </c>
      <c r="D17" s="462">
        <v>8819.9549999999999</v>
      </c>
      <c r="E17" s="462">
        <v>10085.407999999999</v>
      </c>
    </row>
    <row r="18" spans="1:5">
      <c r="A18" s="461" t="s">
        <v>56</v>
      </c>
      <c r="B18" s="462">
        <v>704.1450000000001</v>
      </c>
      <c r="C18" s="462">
        <v>510.94200000000001</v>
      </c>
      <c r="D18" s="462">
        <v>7004.4480000000003</v>
      </c>
      <c r="E18" s="462">
        <v>7853.1750000000002</v>
      </c>
    </row>
    <row r="19" spans="1:5">
      <c r="A19" s="461" t="s">
        <v>57</v>
      </c>
      <c r="B19" s="462">
        <v>561.33600000000001</v>
      </c>
      <c r="C19" s="462">
        <v>382.23599999999999</v>
      </c>
      <c r="D19" s="462">
        <v>6360</v>
      </c>
      <c r="E19" s="462">
        <v>7080.67</v>
      </c>
    </row>
    <row r="20" spans="1:5">
      <c r="A20" s="461" t="s">
        <v>105</v>
      </c>
      <c r="B20" s="462">
        <v>14833.674999999999</v>
      </c>
      <c r="C20" s="462">
        <v>8363.0300000000007</v>
      </c>
      <c r="D20" s="462">
        <v>146816.59</v>
      </c>
      <c r="E20" s="462">
        <v>163469.51499999998</v>
      </c>
    </row>
    <row r="21" spans="1:5">
      <c r="A21" s="461" t="s">
        <v>58</v>
      </c>
      <c r="B21" s="462">
        <v>1769.885</v>
      </c>
      <c r="C21" s="462">
        <v>2202.2999999999997</v>
      </c>
      <c r="D21" s="462">
        <v>15411.06</v>
      </c>
      <c r="E21" s="462">
        <v>18680.841</v>
      </c>
    </row>
    <row r="22" spans="1:5">
      <c r="A22" s="461" t="s">
        <v>59</v>
      </c>
      <c r="B22" s="462">
        <v>465.07499999999999</v>
      </c>
      <c r="C22" s="462">
        <v>254.38799999999998</v>
      </c>
      <c r="D22" s="462">
        <v>4623.2519999999995</v>
      </c>
      <c r="E22" s="462">
        <v>5156.79</v>
      </c>
    </row>
    <row r="23" spans="1:5">
      <c r="A23" s="461" t="s">
        <v>60</v>
      </c>
      <c r="B23" s="462">
        <v>1694.259</v>
      </c>
      <c r="C23" s="462">
        <v>1364.1599999999999</v>
      </c>
      <c r="D23" s="462">
        <v>19141.919999999998</v>
      </c>
      <c r="E23" s="462">
        <v>21343.65</v>
      </c>
    </row>
    <row r="24" spans="1:5">
      <c r="A24" s="461" t="s">
        <v>61</v>
      </c>
      <c r="B24" s="462">
        <v>765.14100000000008</v>
      </c>
      <c r="C24" s="462">
        <v>517.48199999999997</v>
      </c>
      <c r="D24" s="462">
        <v>7716.4980000000005</v>
      </c>
      <c r="E24" s="462">
        <v>8720.3990000000013</v>
      </c>
    </row>
    <row r="25" spans="1:5">
      <c r="A25" s="461" t="s">
        <v>62</v>
      </c>
      <c r="B25" s="462">
        <v>3906.6279999999997</v>
      </c>
      <c r="C25" s="462">
        <v>1973.6999999999998</v>
      </c>
      <c r="D25" s="462">
        <v>25438.187999999998</v>
      </c>
      <c r="E25" s="462">
        <v>29909.775000000001</v>
      </c>
    </row>
    <row r="26" spans="1:5">
      <c r="A26" s="461" t="s">
        <v>63</v>
      </c>
      <c r="B26" s="462">
        <v>539.37800000000004</v>
      </c>
      <c r="C26" s="462">
        <v>398.00199999999995</v>
      </c>
      <c r="D26" s="462">
        <v>5718.3589999999995</v>
      </c>
      <c r="E26" s="462">
        <v>6453.1799999999994</v>
      </c>
    </row>
    <row r="27" spans="1:5">
      <c r="A27" s="461" t="s">
        <v>64</v>
      </c>
      <c r="B27" s="462">
        <v>266.32800000000003</v>
      </c>
      <c r="C27" s="462">
        <v>134.26</v>
      </c>
      <c r="D27" s="462">
        <v>2798.39</v>
      </c>
      <c r="E27" s="462">
        <v>3082.116</v>
      </c>
    </row>
    <row r="28" spans="1:5">
      <c r="A28" s="307"/>
      <c r="B28" s="308"/>
      <c r="C28" s="308"/>
      <c r="D28" s="308"/>
      <c r="E28" s="308"/>
    </row>
    <row r="29" spans="1:5">
      <c r="A29" s="309" t="s">
        <v>15</v>
      </c>
      <c r="B29" s="310">
        <v>6585.0439999999999</v>
      </c>
      <c r="C29" s="310">
        <v>4666.9889999999996</v>
      </c>
      <c r="D29" s="310">
        <v>68500.002999999997</v>
      </c>
      <c r="E29" s="310">
        <v>76847.876999999993</v>
      </c>
    </row>
    <row r="30" spans="1:5">
      <c r="A30" s="459" t="s">
        <v>65</v>
      </c>
      <c r="B30" s="460">
        <v>651.88</v>
      </c>
      <c r="C30" s="460">
        <v>335.94</v>
      </c>
      <c r="D30" s="460">
        <v>5152.3999999999996</v>
      </c>
      <c r="E30" s="460">
        <v>5919.9139999999998</v>
      </c>
    </row>
    <row r="31" spans="1:5">
      <c r="A31" s="461" t="s">
        <v>66</v>
      </c>
      <c r="B31" s="462">
        <v>4367.88</v>
      </c>
      <c r="C31" s="462">
        <v>3329.7</v>
      </c>
      <c r="D31" s="462">
        <v>46286.46</v>
      </c>
      <c r="E31" s="462">
        <v>51908.723999999995</v>
      </c>
    </row>
    <row r="32" spans="1:5">
      <c r="A32" s="461" t="s">
        <v>67</v>
      </c>
      <c r="B32" s="462">
        <v>1067.748</v>
      </c>
      <c r="C32" s="462">
        <v>705.34900000000005</v>
      </c>
      <c r="D32" s="462">
        <v>11649.743</v>
      </c>
      <c r="E32" s="462">
        <v>13027.923999999999</v>
      </c>
    </row>
    <row r="33" spans="1:5">
      <c r="A33" s="461" t="s">
        <v>68</v>
      </c>
      <c r="B33" s="462">
        <v>497.536</v>
      </c>
      <c r="C33" s="462">
        <v>296</v>
      </c>
      <c r="D33" s="462">
        <v>5411.4000000000005</v>
      </c>
      <c r="E33" s="462">
        <v>5991.3150000000005</v>
      </c>
    </row>
    <row r="34" spans="1:5">
      <c r="A34" s="307"/>
      <c r="B34" s="308"/>
      <c r="C34" s="308"/>
      <c r="D34" s="308"/>
      <c r="E34" s="308"/>
    </row>
    <row r="35" spans="1:5">
      <c r="A35" s="309" t="s">
        <v>18</v>
      </c>
      <c r="B35" s="310">
        <v>12447.427</v>
      </c>
      <c r="C35" s="310">
        <v>9221.2889999999989</v>
      </c>
      <c r="D35" s="310">
        <v>122203.63699999999</v>
      </c>
      <c r="E35" s="310">
        <v>138446.79399999999</v>
      </c>
    </row>
    <row r="36" spans="1:5">
      <c r="A36" s="459" t="s">
        <v>93</v>
      </c>
      <c r="B36" s="460">
        <v>535.18400000000008</v>
      </c>
      <c r="C36" s="460">
        <v>327.11200000000002</v>
      </c>
      <c r="D36" s="460">
        <v>4923.7920000000004</v>
      </c>
      <c r="E36" s="460">
        <v>5607.0630000000001</v>
      </c>
    </row>
    <row r="37" spans="1:5">
      <c r="A37" s="461" t="s">
        <v>94</v>
      </c>
      <c r="B37" s="462">
        <v>789.56799999999998</v>
      </c>
      <c r="C37" s="462">
        <v>595.95900000000006</v>
      </c>
      <c r="D37" s="462">
        <v>8459.4580000000005</v>
      </c>
      <c r="E37" s="462">
        <v>9384.6949999999997</v>
      </c>
    </row>
    <row r="38" spans="1:5">
      <c r="A38" s="461" t="s">
        <v>95</v>
      </c>
      <c r="B38" s="462">
        <v>1280.3039999999999</v>
      </c>
      <c r="C38" s="462">
        <v>783.09</v>
      </c>
      <c r="D38" s="462">
        <v>11063.25</v>
      </c>
      <c r="E38" s="462">
        <v>12693.9</v>
      </c>
    </row>
    <row r="39" spans="1:5">
      <c r="A39" s="461" t="s">
        <v>96</v>
      </c>
      <c r="B39" s="462">
        <v>559.572</v>
      </c>
      <c r="C39" s="462">
        <v>482.89499999999992</v>
      </c>
      <c r="D39" s="462">
        <v>6797.5409999999993</v>
      </c>
      <c r="E39" s="462">
        <v>7605.1519999999991</v>
      </c>
    </row>
    <row r="40" spans="1:5">
      <c r="A40" s="461" t="s">
        <v>97</v>
      </c>
      <c r="B40" s="462">
        <v>407.83799999999997</v>
      </c>
      <c r="C40" s="462">
        <v>191.25199999999998</v>
      </c>
      <c r="D40" s="462">
        <v>3451.0299999999997</v>
      </c>
      <c r="E40" s="462">
        <v>3882.1439999999998</v>
      </c>
    </row>
    <row r="41" spans="1:5">
      <c r="A41" s="461" t="s">
        <v>98</v>
      </c>
      <c r="B41" s="462">
        <v>716.75099999999998</v>
      </c>
      <c r="C41" s="462">
        <v>537.04</v>
      </c>
      <c r="D41" s="462">
        <v>8048.9849999999997</v>
      </c>
      <c r="E41" s="462">
        <v>9005.8679999999986</v>
      </c>
    </row>
    <row r="42" spans="1:5">
      <c r="A42" s="461" t="s">
        <v>99</v>
      </c>
      <c r="B42" s="462">
        <v>1189.384</v>
      </c>
      <c r="C42" s="462">
        <v>771.1</v>
      </c>
      <c r="D42" s="462">
        <v>11874.28</v>
      </c>
      <c r="E42" s="462">
        <v>13315.886999999999</v>
      </c>
    </row>
    <row r="43" spans="1:5">
      <c r="A43" s="461" t="s">
        <v>100</v>
      </c>
      <c r="B43" s="462">
        <v>2110.5749999999998</v>
      </c>
      <c r="C43" s="462">
        <v>2478.0559999999996</v>
      </c>
      <c r="D43" s="462">
        <v>23961.108999999997</v>
      </c>
      <c r="E43" s="462">
        <v>27169.011999999999</v>
      </c>
    </row>
    <row r="44" spans="1:5">
      <c r="A44" s="461" t="s">
        <v>101</v>
      </c>
      <c r="B44" s="462">
        <v>1351.7</v>
      </c>
      <c r="C44" s="462">
        <v>792.649</v>
      </c>
      <c r="D44" s="462">
        <v>10662.938</v>
      </c>
      <c r="E44" s="462">
        <v>12439.199999999999</v>
      </c>
    </row>
    <row r="45" spans="1:5">
      <c r="A45" s="461" t="s">
        <v>102</v>
      </c>
      <c r="B45" s="462">
        <v>449.87200000000001</v>
      </c>
      <c r="C45" s="462">
        <v>336.52</v>
      </c>
      <c r="D45" s="462">
        <v>4748.6449999999995</v>
      </c>
      <c r="E45" s="462">
        <v>5287.7849999999999</v>
      </c>
    </row>
    <row r="46" spans="1:5">
      <c r="A46" s="461" t="s">
        <v>103</v>
      </c>
      <c r="B46" s="462">
        <v>1775.7840000000001</v>
      </c>
      <c r="C46" s="462">
        <v>1165.8389999999999</v>
      </c>
      <c r="D46" s="462">
        <v>16408.078999999998</v>
      </c>
      <c r="E46" s="462">
        <v>18650.995999999999</v>
      </c>
    </row>
    <row r="47" spans="1:5">
      <c r="A47" s="461" t="s">
        <v>104</v>
      </c>
      <c r="B47" s="462">
        <v>1280.895</v>
      </c>
      <c r="C47" s="462">
        <v>759.77700000000004</v>
      </c>
      <c r="D47" s="462">
        <v>11804.53</v>
      </c>
      <c r="E47" s="462">
        <v>13405.092000000001</v>
      </c>
    </row>
    <row r="48" spans="1:5">
      <c r="A48" s="307"/>
      <c r="B48" s="308"/>
      <c r="C48" s="308"/>
      <c r="D48" s="308"/>
      <c r="E48" s="308"/>
    </row>
    <row r="49" spans="1:5">
      <c r="A49" s="309" t="s">
        <v>20</v>
      </c>
      <c r="B49" s="310">
        <v>12297.064</v>
      </c>
      <c r="C49" s="310">
        <v>8516.2019999999993</v>
      </c>
      <c r="D49" s="310">
        <v>118963.79299999999</v>
      </c>
      <c r="E49" s="310">
        <v>135124.52600000001</v>
      </c>
    </row>
    <row r="50" spans="1:5">
      <c r="A50" s="459" t="s">
        <v>106</v>
      </c>
      <c r="B50" s="460">
        <v>1089.096</v>
      </c>
      <c r="C50" s="460">
        <v>1070.0029999999999</v>
      </c>
      <c r="D50" s="460">
        <v>11842.689</v>
      </c>
      <c r="E50" s="460">
        <v>13683.152</v>
      </c>
    </row>
    <row r="51" spans="1:5">
      <c r="A51" s="461" t="s">
        <v>107</v>
      </c>
      <c r="B51" s="462">
        <v>2097.9700000000003</v>
      </c>
      <c r="C51" s="462">
        <v>1421.174</v>
      </c>
      <c r="D51" s="462">
        <v>20317.108999999997</v>
      </c>
      <c r="E51" s="462">
        <v>22981.232</v>
      </c>
    </row>
    <row r="52" spans="1:5">
      <c r="A52" s="461" t="s">
        <v>108</v>
      </c>
      <c r="B52" s="462">
        <v>962.00299999999993</v>
      </c>
      <c r="C52" s="462">
        <v>897.96600000000001</v>
      </c>
      <c r="D52" s="462">
        <v>11312.757</v>
      </c>
      <c r="E52" s="462">
        <v>12728.1</v>
      </c>
    </row>
    <row r="53" spans="1:5">
      <c r="A53" s="461" t="s">
        <v>109</v>
      </c>
      <c r="B53" s="462">
        <v>2933.223</v>
      </c>
      <c r="C53" s="462">
        <v>1827.7080000000001</v>
      </c>
      <c r="D53" s="462">
        <v>27521.545000000002</v>
      </c>
      <c r="E53" s="462">
        <v>31299.244000000002</v>
      </c>
    </row>
    <row r="54" spans="1:5">
      <c r="A54" s="461" t="s">
        <v>110</v>
      </c>
      <c r="B54" s="462">
        <v>2358.65</v>
      </c>
      <c r="C54" s="462">
        <v>1498.114</v>
      </c>
      <c r="D54" s="462">
        <v>21889.234</v>
      </c>
      <c r="E54" s="462">
        <v>24665.638000000003</v>
      </c>
    </row>
    <row r="55" spans="1:5">
      <c r="A55" s="461" t="s">
        <v>111</v>
      </c>
      <c r="B55" s="462">
        <v>1221.7179999999998</v>
      </c>
      <c r="C55" s="462">
        <v>682.97599999999989</v>
      </c>
      <c r="D55" s="462">
        <v>10622.527999999998</v>
      </c>
      <c r="E55" s="462">
        <v>12158.820000000002</v>
      </c>
    </row>
    <row r="56" spans="1:5">
      <c r="A56" s="461" t="s">
        <v>112</v>
      </c>
      <c r="B56" s="462">
        <v>1022.0999999999999</v>
      </c>
      <c r="C56" s="462">
        <v>772.07600000000002</v>
      </c>
      <c r="D56" s="462">
        <v>10234.776</v>
      </c>
      <c r="E56" s="462">
        <v>11610.96</v>
      </c>
    </row>
    <row r="57" spans="1:5">
      <c r="A57" s="461" t="s">
        <v>113</v>
      </c>
      <c r="B57" s="462">
        <v>612.30400000000009</v>
      </c>
      <c r="C57" s="462">
        <v>346.185</v>
      </c>
      <c r="D57" s="462">
        <v>5223.1549999999997</v>
      </c>
      <c r="E57" s="462">
        <v>5997.3799999999992</v>
      </c>
    </row>
    <row r="58" spans="1:5">
      <c r="A58" s="307"/>
      <c r="B58" s="308"/>
      <c r="C58" s="308"/>
      <c r="D58" s="308"/>
      <c r="E58" s="308"/>
    </row>
    <row r="59" spans="1:5">
      <c r="A59" s="309" t="s">
        <v>21</v>
      </c>
      <c r="B59" s="310">
        <v>15450.081999999997</v>
      </c>
      <c r="C59" s="310">
        <v>11947.960000000001</v>
      </c>
      <c r="D59" s="310">
        <v>148963.02400000003</v>
      </c>
      <c r="E59" s="310">
        <v>169370.39</v>
      </c>
    </row>
    <row r="60" spans="1:5">
      <c r="A60" s="459" t="s">
        <v>114</v>
      </c>
      <c r="B60" s="460">
        <v>291.27600000000001</v>
      </c>
      <c r="C60" s="460">
        <v>225.61599999999999</v>
      </c>
      <c r="D60" s="460">
        <v>3756.8409999999999</v>
      </c>
      <c r="E60" s="460">
        <v>4058.59</v>
      </c>
    </row>
    <row r="61" spans="1:5">
      <c r="A61" s="461" t="s">
        <v>115</v>
      </c>
      <c r="B61" s="462">
        <v>6231.68</v>
      </c>
      <c r="C61" s="462">
        <v>6100.6440000000002</v>
      </c>
      <c r="D61" s="462">
        <v>68508.058000000005</v>
      </c>
      <c r="E61" s="462">
        <v>77376.957000000009</v>
      </c>
    </row>
    <row r="62" spans="1:5">
      <c r="A62" s="461" t="s">
        <v>116</v>
      </c>
      <c r="B62" s="462">
        <v>2053.73</v>
      </c>
      <c r="C62" s="462">
        <v>1406.172</v>
      </c>
      <c r="D62" s="462">
        <v>17584.347999999998</v>
      </c>
      <c r="E62" s="462">
        <v>20147.772000000001</v>
      </c>
    </row>
    <row r="63" spans="1:5">
      <c r="A63" s="461" t="s">
        <v>117</v>
      </c>
      <c r="B63" s="462">
        <v>1089.0450000000001</v>
      </c>
      <c r="C63" s="462">
        <v>540.51200000000006</v>
      </c>
      <c r="D63" s="462">
        <v>7854.7140000000009</v>
      </c>
      <c r="E63" s="462">
        <v>9271.2360000000008</v>
      </c>
    </row>
    <row r="64" spans="1:5">
      <c r="A64" s="461" t="s">
        <v>118</v>
      </c>
      <c r="B64" s="462">
        <v>1074.6960000000001</v>
      </c>
      <c r="C64" s="462">
        <v>633.7639999999999</v>
      </c>
      <c r="D64" s="462">
        <v>9138.4679999999989</v>
      </c>
      <c r="E64" s="462">
        <v>10413.864</v>
      </c>
    </row>
    <row r="65" spans="1:5">
      <c r="A65" s="461" t="s">
        <v>119</v>
      </c>
      <c r="B65" s="462">
        <v>483.21</v>
      </c>
      <c r="C65" s="462">
        <v>329.70300000000003</v>
      </c>
      <c r="D65" s="462">
        <v>4374.603000000001</v>
      </c>
      <c r="E65" s="462">
        <v>4996.12</v>
      </c>
    </row>
    <row r="66" spans="1:5">
      <c r="A66" s="461" t="s">
        <v>120</v>
      </c>
      <c r="B66" s="462">
        <v>1255.425</v>
      </c>
      <c r="C66" s="462">
        <v>633.56999999999994</v>
      </c>
      <c r="D66" s="462">
        <v>10052.49</v>
      </c>
      <c r="E66" s="462">
        <v>11563.875</v>
      </c>
    </row>
    <row r="67" spans="1:5">
      <c r="A67" s="461" t="s">
        <v>121</v>
      </c>
      <c r="B67" s="462">
        <v>2347.8000000000002</v>
      </c>
      <c r="C67" s="462">
        <v>1517.9760000000001</v>
      </c>
      <c r="D67" s="462">
        <v>21109.419000000002</v>
      </c>
      <c r="E67" s="462">
        <v>24075.45</v>
      </c>
    </row>
    <row r="68" spans="1:5">
      <c r="A68" s="461" t="s">
        <v>122</v>
      </c>
      <c r="B68" s="462">
        <v>623.22</v>
      </c>
      <c r="C68" s="462">
        <v>560.00300000000004</v>
      </c>
      <c r="D68" s="462">
        <v>6584.0830000000005</v>
      </c>
      <c r="E68" s="462">
        <v>7466.5259999999998</v>
      </c>
    </row>
    <row r="69" spans="1:5">
      <c r="A69" s="307"/>
      <c r="B69" s="308"/>
      <c r="C69" s="308"/>
      <c r="D69" s="308"/>
      <c r="E69" s="308"/>
    </row>
    <row r="70" spans="1:5">
      <c r="A70" s="309" t="s">
        <v>295</v>
      </c>
      <c r="B70" s="310">
        <v>13543.015000000001</v>
      </c>
      <c r="C70" s="310">
        <v>11123.619000000002</v>
      </c>
      <c r="D70" s="310">
        <v>147779.45500000002</v>
      </c>
      <c r="E70" s="310">
        <v>167108.58000000005</v>
      </c>
    </row>
    <row r="71" spans="1:5">
      <c r="A71" s="459" t="s">
        <v>123</v>
      </c>
      <c r="B71" s="460">
        <v>450.29600000000005</v>
      </c>
      <c r="C71" s="460">
        <v>279.48399999999998</v>
      </c>
      <c r="D71" s="460">
        <v>4602.4979999999996</v>
      </c>
      <c r="E71" s="460">
        <v>5121.6899999999996</v>
      </c>
    </row>
    <row r="72" spans="1:5">
      <c r="A72" s="461" t="s">
        <v>124</v>
      </c>
      <c r="B72" s="462">
        <v>196.959</v>
      </c>
      <c r="C72" s="462">
        <v>111.80499999999999</v>
      </c>
      <c r="D72" s="462">
        <v>1788.5849999999998</v>
      </c>
      <c r="E72" s="462">
        <v>2054.4349999999999</v>
      </c>
    </row>
    <row r="73" spans="1:5">
      <c r="A73" s="461" t="s">
        <v>125</v>
      </c>
      <c r="B73" s="462">
        <v>397.76099999999997</v>
      </c>
      <c r="C73" s="462">
        <v>242.48000000000002</v>
      </c>
      <c r="D73" s="462">
        <v>4212.04</v>
      </c>
      <c r="E73" s="462">
        <v>4745.5199999999995</v>
      </c>
    </row>
    <row r="74" spans="1:5">
      <c r="A74" s="461" t="s">
        <v>126</v>
      </c>
      <c r="B74" s="462">
        <v>253.55199999999999</v>
      </c>
      <c r="C74" s="462">
        <v>186.40499999999997</v>
      </c>
      <c r="D74" s="462">
        <v>3111.6629999999996</v>
      </c>
      <c r="E74" s="462">
        <v>3395.7840000000006</v>
      </c>
    </row>
    <row r="75" spans="1:5">
      <c r="A75" s="461" t="s">
        <v>127</v>
      </c>
      <c r="B75" s="462">
        <v>2849.7440000000001</v>
      </c>
      <c r="C75" s="462">
        <v>2075.4639999999999</v>
      </c>
      <c r="D75" s="462">
        <v>36577.307999999997</v>
      </c>
      <c r="E75" s="462">
        <v>40064.200000000004</v>
      </c>
    </row>
    <row r="76" spans="1:5">
      <c r="A76" s="461" t="s">
        <v>128</v>
      </c>
      <c r="B76" s="462">
        <v>925.78499999999997</v>
      </c>
      <c r="C76" s="462">
        <v>793.27599999999995</v>
      </c>
      <c r="D76" s="462">
        <v>11404.008</v>
      </c>
      <c r="E76" s="462">
        <v>12693.915000000001</v>
      </c>
    </row>
    <row r="77" spans="1:5">
      <c r="A77" s="461" t="s">
        <v>129</v>
      </c>
      <c r="B77" s="462">
        <v>391.27600000000001</v>
      </c>
      <c r="C77" s="462">
        <v>224.13600000000002</v>
      </c>
      <c r="D77" s="462">
        <v>3759.8880000000004</v>
      </c>
      <c r="E77" s="462">
        <v>4275.0240000000003</v>
      </c>
    </row>
    <row r="78" spans="1:5">
      <c r="A78" s="461" t="s">
        <v>130</v>
      </c>
      <c r="B78" s="462">
        <v>169.524</v>
      </c>
      <c r="C78" s="462">
        <v>86.765000000000001</v>
      </c>
      <c r="D78" s="462">
        <v>1462.3140000000001</v>
      </c>
      <c r="E78" s="462">
        <v>1673.8169999999998</v>
      </c>
    </row>
    <row r="79" spans="1:5">
      <c r="A79" s="461" t="s">
        <v>131</v>
      </c>
      <c r="B79" s="462">
        <v>145.87299999999999</v>
      </c>
      <c r="C79" s="462">
        <v>88.769999999999982</v>
      </c>
      <c r="D79" s="462">
        <v>1286.3579999999997</v>
      </c>
      <c r="E79" s="462">
        <v>1477.3</v>
      </c>
    </row>
    <row r="80" spans="1:5">
      <c r="A80" s="461" t="s">
        <v>132</v>
      </c>
      <c r="B80" s="462">
        <v>698.19</v>
      </c>
      <c r="C80" s="462">
        <v>421.24700000000001</v>
      </c>
      <c r="D80" s="462">
        <v>7288.5320000000002</v>
      </c>
      <c r="E80" s="462">
        <v>8185.4880000000012</v>
      </c>
    </row>
    <row r="81" spans="1:5">
      <c r="A81" s="461" t="s">
        <v>133</v>
      </c>
      <c r="B81" s="462">
        <v>1538.7299999999998</v>
      </c>
      <c r="C81" s="462">
        <v>772.19400000000007</v>
      </c>
      <c r="D81" s="462">
        <v>14307.114000000001</v>
      </c>
      <c r="E81" s="462">
        <v>16172.725999999999</v>
      </c>
    </row>
    <row r="82" spans="1:5">
      <c r="A82" s="461" t="s">
        <v>134</v>
      </c>
      <c r="B82" s="462">
        <v>611.9</v>
      </c>
      <c r="C82" s="462">
        <v>1106.3499999999999</v>
      </c>
      <c r="D82" s="462">
        <v>6517.75</v>
      </c>
      <c r="E82" s="462">
        <v>7940.2049999999999</v>
      </c>
    </row>
    <row r="83" spans="1:5">
      <c r="A83" s="461" t="s">
        <v>135</v>
      </c>
      <c r="B83" s="462">
        <v>602.28600000000006</v>
      </c>
      <c r="C83" s="462">
        <v>328.274</v>
      </c>
      <c r="D83" s="462">
        <v>5238.7939999999999</v>
      </c>
      <c r="E83" s="462">
        <v>6036.58</v>
      </c>
    </row>
    <row r="84" spans="1:5">
      <c r="A84" s="461" t="s">
        <v>136</v>
      </c>
      <c r="B84" s="462">
        <v>233.15100000000001</v>
      </c>
      <c r="C84" s="462">
        <v>266.64400000000001</v>
      </c>
      <c r="D84" s="462">
        <v>2535.6860000000001</v>
      </c>
      <c r="E84" s="462">
        <v>2915.8979999999997</v>
      </c>
    </row>
    <row r="85" spans="1:5">
      <c r="A85" s="461" t="s">
        <v>137</v>
      </c>
      <c r="B85" s="462">
        <v>500.78699999999998</v>
      </c>
      <c r="C85" s="462">
        <v>344.48699999999997</v>
      </c>
      <c r="D85" s="462">
        <v>5648.4479999999994</v>
      </c>
      <c r="E85" s="462">
        <v>6285.8920000000007</v>
      </c>
    </row>
    <row r="86" spans="1:5">
      <c r="A86" s="461" t="s">
        <v>138</v>
      </c>
      <c r="B86" s="462">
        <v>173.81299999999999</v>
      </c>
      <c r="C86" s="462">
        <v>83.103999999999985</v>
      </c>
      <c r="D86" s="462">
        <v>1929.5359999999998</v>
      </c>
      <c r="E86" s="462">
        <v>2125.442</v>
      </c>
    </row>
    <row r="87" spans="1:5">
      <c r="A87" s="461" t="s">
        <v>139</v>
      </c>
      <c r="B87" s="462">
        <v>344.73599999999999</v>
      </c>
      <c r="C87" s="462">
        <v>154.25</v>
      </c>
      <c r="D87" s="462">
        <v>2723.25</v>
      </c>
      <c r="E87" s="462">
        <v>3151.0080000000003</v>
      </c>
    </row>
    <row r="88" spans="1:5">
      <c r="A88" s="461" t="s">
        <v>140</v>
      </c>
      <c r="B88" s="462">
        <v>751.19200000000001</v>
      </c>
      <c r="C88" s="462">
        <v>557.06000000000006</v>
      </c>
      <c r="D88" s="462">
        <v>8600.6200000000008</v>
      </c>
      <c r="E88" s="462">
        <v>9607.42</v>
      </c>
    </row>
    <row r="89" spans="1:5">
      <c r="A89" s="461" t="s">
        <v>141</v>
      </c>
      <c r="B89" s="462">
        <v>288.2</v>
      </c>
      <c r="C89" s="462">
        <v>139.46599999999998</v>
      </c>
      <c r="D89" s="462">
        <v>2239.6759999999999</v>
      </c>
      <c r="E89" s="462">
        <v>2602.125</v>
      </c>
    </row>
    <row r="90" spans="1:5">
      <c r="A90" s="461" t="s">
        <v>142</v>
      </c>
      <c r="B90" s="462">
        <v>380.72</v>
      </c>
      <c r="C90" s="462">
        <v>315.71000000000004</v>
      </c>
      <c r="D90" s="462">
        <v>4005.6610000000005</v>
      </c>
      <c r="E90" s="462">
        <v>4583.38</v>
      </c>
    </row>
    <row r="91" spans="1:5">
      <c r="A91" s="461" t="s">
        <v>143</v>
      </c>
      <c r="B91" s="462">
        <v>458.25</v>
      </c>
      <c r="C91" s="462">
        <v>1793.61</v>
      </c>
      <c r="D91" s="462">
        <v>6271.0199999999995</v>
      </c>
      <c r="E91" s="462">
        <v>8235.7080000000005</v>
      </c>
    </row>
    <row r="92" spans="1:5">
      <c r="A92" s="461" t="s">
        <v>144</v>
      </c>
      <c r="B92" s="462">
        <v>923.5200000000001</v>
      </c>
      <c r="C92" s="462">
        <v>622.63300000000004</v>
      </c>
      <c r="D92" s="462">
        <v>9876.6139999999996</v>
      </c>
      <c r="E92" s="462">
        <v>11065.695</v>
      </c>
    </row>
    <row r="93" spans="1:5">
      <c r="A93" s="461" t="s">
        <v>145</v>
      </c>
      <c r="B93" s="462">
        <v>256.77</v>
      </c>
      <c r="C93" s="462">
        <v>130.005</v>
      </c>
      <c r="D93" s="462">
        <v>2392.0920000000001</v>
      </c>
      <c r="E93" s="462">
        <v>2699.328</v>
      </c>
    </row>
    <row r="94" spans="1:5">
      <c r="A94" s="307"/>
      <c r="B94" s="308"/>
      <c r="C94" s="308"/>
      <c r="D94" s="308"/>
      <c r="E94" s="308"/>
    </row>
    <row r="95" spans="1:5">
      <c r="A95" s="309" t="s">
        <v>482</v>
      </c>
      <c r="B95" s="310">
        <v>16040.819999999998</v>
      </c>
      <c r="C95" s="310">
        <v>14239.956999999999</v>
      </c>
      <c r="D95" s="310">
        <v>160586.96799999999</v>
      </c>
      <c r="E95" s="310">
        <v>184150.821</v>
      </c>
    </row>
    <row r="96" spans="1:5">
      <c r="A96" s="459" t="s">
        <v>74</v>
      </c>
      <c r="B96" s="460">
        <v>707.33199999999988</v>
      </c>
      <c r="C96" s="460">
        <v>358.34399999999999</v>
      </c>
      <c r="D96" s="460">
        <v>6065.7779999999993</v>
      </c>
      <c r="E96" s="460">
        <v>6967.7400000000007</v>
      </c>
    </row>
    <row r="97" spans="1:5">
      <c r="A97" s="461" t="s">
        <v>75</v>
      </c>
      <c r="B97" s="462">
        <v>200.30500000000001</v>
      </c>
      <c r="C97" s="462">
        <v>163.90400000000002</v>
      </c>
      <c r="D97" s="462">
        <v>2505.9840000000004</v>
      </c>
      <c r="E97" s="462">
        <v>2759.27</v>
      </c>
    </row>
    <row r="98" spans="1:5">
      <c r="A98" s="461" t="s">
        <v>69</v>
      </c>
      <c r="B98" s="462">
        <v>1445.068</v>
      </c>
      <c r="C98" s="462">
        <v>703.39499999999998</v>
      </c>
      <c r="D98" s="462">
        <v>14777.763000000001</v>
      </c>
      <c r="E98" s="462">
        <v>16550.14</v>
      </c>
    </row>
    <row r="99" spans="1:5">
      <c r="A99" s="461" t="s">
        <v>76</v>
      </c>
      <c r="B99" s="462">
        <v>169.85</v>
      </c>
      <c r="C99" s="462">
        <v>71.995000000000005</v>
      </c>
      <c r="D99" s="462">
        <v>1147.6189999999999</v>
      </c>
      <c r="E99" s="462">
        <v>1334.029</v>
      </c>
    </row>
    <row r="100" spans="1:5">
      <c r="A100" s="461" t="s">
        <v>70</v>
      </c>
      <c r="B100" s="462">
        <v>826.74900000000002</v>
      </c>
      <c r="C100" s="462">
        <v>492.12799999999993</v>
      </c>
      <c r="D100" s="462">
        <v>9014.4319999999989</v>
      </c>
      <c r="E100" s="462">
        <v>9997.2759999999998</v>
      </c>
    </row>
    <row r="101" spans="1:5">
      <c r="A101" s="461" t="s">
        <v>77</v>
      </c>
      <c r="B101" s="462">
        <v>189.00199999999998</v>
      </c>
      <c r="C101" s="462">
        <v>118.235</v>
      </c>
      <c r="D101" s="462">
        <v>1749.2149999999999</v>
      </c>
      <c r="E101" s="462">
        <v>2000.1599999999999</v>
      </c>
    </row>
    <row r="102" spans="1:5">
      <c r="A102" s="461" t="s">
        <v>78</v>
      </c>
      <c r="B102" s="462">
        <v>1395.68</v>
      </c>
      <c r="C102" s="462">
        <v>997.24799999999993</v>
      </c>
      <c r="D102" s="462">
        <v>11967.188</v>
      </c>
      <c r="E102" s="462">
        <v>13963.624999999998</v>
      </c>
    </row>
    <row r="103" spans="1:5">
      <c r="A103" s="461" t="s">
        <v>79</v>
      </c>
      <c r="B103" s="462">
        <v>404.62400000000002</v>
      </c>
      <c r="C103" s="462">
        <v>198.23999999999998</v>
      </c>
      <c r="D103" s="462">
        <v>3169.5299999999997</v>
      </c>
      <c r="E103" s="462">
        <v>3673.03</v>
      </c>
    </row>
    <row r="104" spans="1:5">
      <c r="A104" s="461" t="s">
        <v>80</v>
      </c>
      <c r="B104" s="462">
        <v>582.70000000000005</v>
      </c>
      <c r="C104" s="462">
        <v>213.96200000000002</v>
      </c>
      <c r="D104" s="462">
        <v>5084.3940000000002</v>
      </c>
      <c r="E104" s="462">
        <v>5730.1559999999999</v>
      </c>
    </row>
    <row r="105" spans="1:5">
      <c r="A105" s="461" t="s">
        <v>81</v>
      </c>
      <c r="B105" s="462">
        <v>157.20000000000002</v>
      </c>
      <c r="C105" s="462">
        <v>93.529999999999987</v>
      </c>
      <c r="D105" s="462">
        <v>1325.1409999999998</v>
      </c>
      <c r="E105" s="462">
        <v>1518.6979999999999</v>
      </c>
    </row>
    <row r="106" spans="1:5">
      <c r="A106" s="461" t="s">
        <v>82</v>
      </c>
      <c r="B106" s="462">
        <v>234.92</v>
      </c>
      <c r="C106" s="462">
        <v>272.83499999999998</v>
      </c>
      <c r="D106" s="462">
        <v>3028.2750000000001</v>
      </c>
      <c r="E106" s="462">
        <v>3362.4279999999999</v>
      </c>
    </row>
    <row r="107" spans="1:5">
      <c r="A107" s="461" t="s">
        <v>83</v>
      </c>
      <c r="B107" s="462">
        <v>107.375</v>
      </c>
      <c r="C107" s="462">
        <v>49.95</v>
      </c>
      <c r="D107" s="462">
        <v>987.93000000000006</v>
      </c>
      <c r="E107" s="462">
        <v>1095.799</v>
      </c>
    </row>
    <row r="108" spans="1:5">
      <c r="A108" s="461" t="s">
        <v>84</v>
      </c>
      <c r="B108" s="462">
        <v>175.02799999999999</v>
      </c>
      <c r="C108" s="462">
        <v>74.97</v>
      </c>
      <c r="D108" s="462">
        <v>1551.93</v>
      </c>
      <c r="E108" s="462">
        <v>1772.03</v>
      </c>
    </row>
    <row r="109" spans="1:5">
      <c r="A109" s="461" t="s">
        <v>85</v>
      </c>
      <c r="B109" s="462">
        <v>275.88</v>
      </c>
      <c r="C109" s="462">
        <v>147.63</v>
      </c>
      <c r="D109" s="462">
        <v>2730</v>
      </c>
      <c r="E109" s="462">
        <v>3075.8759999999997</v>
      </c>
    </row>
    <row r="110" spans="1:5" ht="14.25" customHeight="1">
      <c r="A110" s="461" t="s">
        <v>71</v>
      </c>
      <c r="B110" s="462">
        <v>2295.9300000000003</v>
      </c>
      <c r="C110" s="462">
        <v>2671.32</v>
      </c>
      <c r="D110" s="462">
        <v>29915.394</v>
      </c>
      <c r="E110" s="462">
        <v>33389.046000000002</v>
      </c>
    </row>
    <row r="111" spans="1:5" ht="14.25" customHeight="1">
      <c r="A111" s="461" t="s">
        <v>86</v>
      </c>
      <c r="B111" s="462">
        <v>191.79999999999998</v>
      </c>
      <c r="C111" s="462">
        <v>106.46499999999999</v>
      </c>
      <c r="D111" s="462">
        <v>2316.3599999999997</v>
      </c>
      <c r="E111" s="462">
        <v>2527.2000000000003</v>
      </c>
    </row>
    <row r="112" spans="1:5">
      <c r="A112" s="461" t="s">
        <v>72</v>
      </c>
      <c r="B112" s="462">
        <v>2821.6320000000001</v>
      </c>
      <c r="C112" s="462">
        <v>2994.2459999999996</v>
      </c>
      <c r="D112" s="462">
        <v>22633.291999999998</v>
      </c>
      <c r="E112" s="462">
        <v>27182.163</v>
      </c>
    </row>
    <row r="113" spans="1:18">
      <c r="A113" s="461" t="s">
        <v>87</v>
      </c>
      <c r="B113" s="462">
        <v>199.04400000000001</v>
      </c>
      <c r="C113" s="462">
        <v>74.882999999999996</v>
      </c>
      <c r="D113" s="462">
        <v>1632.3119999999999</v>
      </c>
      <c r="E113" s="462">
        <v>1850.3019999999999</v>
      </c>
    </row>
    <row r="114" spans="1:18">
      <c r="A114" s="461" t="s">
        <v>88</v>
      </c>
      <c r="B114" s="462">
        <v>454.74</v>
      </c>
      <c r="C114" s="462">
        <v>464.80799999999999</v>
      </c>
      <c r="D114" s="462">
        <v>4708.2139999999999</v>
      </c>
      <c r="E114" s="462">
        <v>5429.5920000000006</v>
      </c>
    </row>
    <row r="115" spans="1:18">
      <c r="A115" s="461" t="s">
        <v>73</v>
      </c>
      <c r="B115" s="462">
        <v>849.43799999999987</v>
      </c>
      <c r="C115" s="462">
        <v>528.08600000000001</v>
      </c>
      <c r="D115" s="462">
        <v>8259.68</v>
      </c>
      <c r="E115" s="462">
        <v>9279.2739999999994</v>
      </c>
    </row>
    <row r="116" spans="1:18">
      <c r="A116" s="461" t="s">
        <v>89</v>
      </c>
      <c r="B116" s="462">
        <v>167.024</v>
      </c>
      <c r="C116" s="462">
        <v>77.210999999999999</v>
      </c>
      <c r="D116" s="462">
        <v>1524.5549999999998</v>
      </c>
      <c r="E116" s="462">
        <v>1714.4460000000001</v>
      </c>
    </row>
    <row r="117" spans="1:18">
      <c r="A117" s="461" t="s">
        <v>90</v>
      </c>
      <c r="B117" s="462">
        <v>1961.04</v>
      </c>
      <c r="C117" s="462">
        <v>3263.2420000000002</v>
      </c>
      <c r="D117" s="462">
        <v>22322.982</v>
      </c>
      <c r="E117" s="462">
        <v>26559.203999999998</v>
      </c>
    </row>
    <row r="118" spans="1:18">
      <c r="A118" s="461" t="s">
        <v>91</v>
      </c>
      <c r="B118" s="462">
        <v>65.204999999999998</v>
      </c>
      <c r="C118" s="462">
        <v>27.729999999999997</v>
      </c>
      <c r="D118" s="462">
        <v>729.24</v>
      </c>
      <c r="E118" s="462">
        <v>780.81499999999994</v>
      </c>
    </row>
    <row r="119" spans="1:18">
      <c r="A119" s="461" t="s">
        <v>92</v>
      </c>
      <c r="B119" s="462">
        <v>163.25400000000002</v>
      </c>
      <c r="C119" s="462">
        <v>75.599999999999994</v>
      </c>
      <c r="D119" s="462">
        <v>1439.76</v>
      </c>
      <c r="E119" s="462">
        <v>1638.5220000000002</v>
      </c>
    </row>
    <row r="120" spans="1:18">
      <c r="A120" s="307"/>
      <c r="B120" s="308"/>
      <c r="C120" s="308"/>
      <c r="D120" s="308"/>
      <c r="E120" s="308"/>
    </row>
    <row r="121" spans="1:18">
      <c r="A121" s="307" t="s">
        <v>301</v>
      </c>
      <c r="B121" s="308">
        <v>134601.01099999997</v>
      </c>
      <c r="C121" s="308">
        <v>96870.887000000002</v>
      </c>
      <c r="D121" s="308">
        <v>1307069.3260000004</v>
      </c>
      <c r="E121" s="308">
        <v>1482472.2770000002</v>
      </c>
    </row>
    <row r="122" spans="1:18" ht="14.25">
      <c r="A122" s="457"/>
      <c r="B122" s="457"/>
      <c r="C122" s="457"/>
      <c r="D122" s="457"/>
      <c r="E122" s="457"/>
    </row>
    <row r="123" spans="1:18" ht="30" customHeight="1">
      <c r="A123" s="525" t="s">
        <v>506</v>
      </c>
      <c r="B123" s="525"/>
      <c r="C123" s="525"/>
      <c r="D123" s="525"/>
      <c r="E123" s="525"/>
    </row>
    <row r="124" spans="1:18" ht="30" customHeight="1">
      <c r="A124" s="526" t="s">
        <v>501</v>
      </c>
      <c r="B124" s="526"/>
      <c r="C124" s="526"/>
      <c r="D124" s="526"/>
      <c r="E124" s="526"/>
      <c r="F124" s="246"/>
      <c r="G124" s="246"/>
      <c r="H124" s="246"/>
      <c r="I124" s="246"/>
      <c r="J124" s="246"/>
      <c r="K124" s="246"/>
      <c r="L124" s="246"/>
      <c r="M124" s="246"/>
      <c r="N124" s="246"/>
      <c r="O124" s="246"/>
      <c r="P124" s="246"/>
      <c r="Q124" s="246"/>
      <c r="R124" s="246"/>
    </row>
    <row r="125" spans="1:18" ht="50.1" customHeight="1">
      <c r="A125" s="526" t="s">
        <v>502</v>
      </c>
      <c r="B125" s="526"/>
      <c r="C125" s="526"/>
      <c r="D125" s="526"/>
      <c r="E125" s="526"/>
      <c r="F125" s="246"/>
      <c r="G125" s="246"/>
      <c r="H125" s="246"/>
      <c r="I125" s="246"/>
      <c r="J125" s="246"/>
      <c r="K125" s="246"/>
      <c r="L125" s="246"/>
      <c r="M125" s="246"/>
      <c r="N125" s="246"/>
      <c r="O125" s="246"/>
      <c r="P125" s="246"/>
      <c r="Q125" s="246"/>
      <c r="R125" s="246"/>
    </row>
  </sheetData>
  <sheetProtection sheet="1" objects="1" scenarios="1"/>
  <mergeCells count="3">
    <mergeCell ref="A123:E123"/>
    <mergeCell ref="A124:E124"/>
    <mergeCell ref="A125:E125"/>
  </mergeCells>
  <printOptions horizontalCentered="1"/>
  <pageMargins left="0.3" right="0.3" top="0.5" bottom="0.5" header="0.3" footer="0.3"/>
  <pageSetup scale="75" fitToHeight="2" orientation="portrait" r:id="rId2"/>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16"/>
  <sheetViews>
    <sheetView showGridLines="0" workbookViewId="0">
      <selection activeCell="G9" sqref="G9"/>
    </sheetView>
  </sheetViews>
  <sheetFormatPr defaultRowHeight="12.75"/>
  <cols>
    <col min="1" max="1" width="22.42578125" style="22" customWidth="1"/>
    <col min="2" max="16384" width="9.140625" style="22"/>
  </cols>
  <sheetData>
    <row r="1" spans="1:11" ht="15" customHeight="1">
      <c r="A1" s="36" t="s">
        <v>28</v>
      </c>
    </row>
    <row r="2" spans="1:11" ht="15" customHeight="1">
      <c r="A2" s="36" t="s">
        <v>198</v>
      </c>
    </row>
    <row r="3" spans="1:11" ht="15" customHeight="1">
      <c r="A3" s="30" t="s">
        <v>196</v>
      </c>
      <c r="C3" s="147">
        <f>IF('Set-Up Worksheet'!F3="","Data Not Entered On Set-Up Worksheet",'Set-Up Worksheet'!F3)</f>
        <v>2017</v>
      </c>
    </row>
    <row r="4" spans="1:11" ht="15" customHeight="1">
      <c r="A4" s="30" t="s">
        <v>197</v>
      </c>
      <c r="C4" s="147" t="str">
        <f>IF('Set-Up Worksheet'!F4="","Data Not Entered On Set-Up Worksheet",'Set-Up Worksheet'!F4)</f>
        <v>1st Quarter</v>
      </c>
    </row>
    <row r="5" spans="1:11" ht="15" customHeight="1">
      <c r="C5" s="32"/>
    </row>
    <row r="6" spans="1:11" ht="15" customHeight="1">
      <c r="A6" s="30" t="s">
        <v>193</v>
      </c>
      <c r="C6" s="32"/>
    </row>
    <row r="7" spans="1:11" ht="15" customHeight="1">
      <c r="A7" s="30" t="s">
        <v>195</v>
      </c>
      <c r="C7" s="32"/>
    </row>
    <row r="8" spans="1:11" ht="15" customHeight="1">
      <c r="A8" s="30"/>
      <c r="C8" s="32"/>
    </row>
    <row r="9" spans="1:11" ht="15" customHeight="1">
      <c r="A9" s="30" t="s">
        <v>29</v>
      </c>
      <c r="C9" s="39" t="str">
        <f>IF('Set-Up Worksheet'!E7="","Data Not Entered On Set-Up Worksheet",'Set-Up Worksheet'!E7)</f>
        <v>Data Not Entered On Set-Up Worksheet</v>
      </c>
    </row>
    <row r="10" spans="1:11" ht="15" customHeight="1">
      <c r="A10" s="30" t="s">
        <v>9</v>
      </c>
      <c r="C10" s="32" t="s">
        <v>10</v>
      </c>
    </row>
    <row r="11" spans="1:11" ht="15" customHeight="1">
      <c r="A11" s="30" t="s">
        <v>199</v>
      </c>
      <c r="C11" s="40" t="str">
        <f>IF(C4="Data Not Entered On Set-Up Worksheet","Data Not Entered On Set-Up Worksheet",IF(C4="1st Quarter",'Report Schedule'!D13,IF(C4="2nd Quarter",'Report Schedule'!E13,IF(C4="3rd Quarter",'Report Schedule'!F13,IF(C4="4th Quarter",'Report Schedule'!G13,"")))))</f>
        <v>Jul - Sep 2016</v>
      </c>
    </row>
    <row r="14" spans="1:11" ht="79.5" customHeight="1">
      <c r="A14" s="522" t="s">
        <v>467</v>
      </c>
      <c r="B14" s="522"/>
      <c r="C14" s="522"/>
      <c r="D14" s="522"/>
      <c r="E14" s="522"/>
      <c r="F14" s="522"/>
      <c r="G14" s="522"/>
      <c r="H14" s="522"/>
      <c r="I14" s="522"/>
      <c r="J14" s="522"/>
      <c r="K14" s="47"/>
    </row>
    <row r="15" spans="1:11">
      <c r="A15" s="47"/>
      <c r="B15" s="47"/>
      <c r="C15" s="47"/>
      <c r="D15" s="47"/>
      <c r="E15" s="47"/>
      <c r="F15" s="47"/>
      <c r="G15" s="47"/>
      <c r="H15" s="47"/>
      <c r="I15" s="47"/>
      <c r="J15" s="47"/>
      <c r="K15" s="47"/>
    </row>
    <row r="16" spans="1:11">
      <c r="A16" s="47"/>
      <c r="B16" s="47"/>
      <c r="C16" s="47"/>
      <c r="D16" s="47"/>
      <c r="E16" s="47"/>
      <c r="F16" s="47"/>
      <c r="G16" s="47"/>
      <c r="H16" s="47"/>
      <c r="I16" s="47"/>
      <c r="J16" s="47"/>
      <c r="K16" s="47"/>
    </row>
  </sheetData>
  <sheetProtection sheet="1" objects="1" scenarios="1"/>
  <mergeCells count="1">
    <mergeCell ref="A14:J14"/>
  </mergeCells>
  <conditionalFormatting sqref="C3:C4">
    <cfRule type="expression" dxfId="542" priority="4">
      <formula>C3="Data Not Entered On Set-Up Worksheet"</formula>
    </cfRule>
  </conditionalFormatting>
  <conditionalFormatting sqref="C9">
    <cfRule type="expression" dxfId="541" priority="3">
      <formula>C9="Data Not Entered On Set-Up Worksheet"</formula>
    </cfRule>
  </conditionalFormatting>
  <conditionalFormatting sqref="C11">
    <cfRule type="expression" dxfId="540"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U111"/>
  <sheetViews>
    <sheetView showGridLines="0" zoomScale="80" zoomScaleNormal="80" workbookViewId="0">
      <pane xSplit="1" ySplit="5" topLeftCell="B85" activePane="bottomRight" state="frozen"/>
      <selection activeCell="B18" sqref="B18"/>
      <selection pane="topRight" activeCell="B18" sqref="B18"/>
      <selection pane="bottomLeft" activeCell="B18" sqref="B18"/>
      <selection pane="bottomRight" activeCell="B6" sqref="B6"/>
    </sheetView>
  </sheetViews>
  <sheetFormatPr defaultRowHeight="14.25"/>
  <cols>
    <col min="1" max="1" width="17.85546875" style="247" customWidth="1"/>
    <col min="2" max="2" width="43.5703125" style="246" customWidth="1"/>
    <col min="3" max="3" width="12.42578125" style="289" customWidth="1"/>
    <col min="4" max="19" width="15" style="246" customWidth="1"/>
    <col min="20" max="20" width="9.140625" style="246"/>
    <col min="21" max="21" width="11" style="246" bestFit="1" customWidth="1"/>
    <col min="22" max="16384" width="9.140625" style="246"/>
  </cols>
  <sheetData>
    <row r="1" spans="1:21" ht="24.95" customHeight="1">
      <c r="A1" s="463" t="s">
        <v>533</v>
      </c>
      <c r="B1" s="464"/>
      <c r="C1" s="464"/>
      <c r="D1" s="465" t="s">
        <v>495</v>
      </c>
      <c r="E1" s="465" t="s">
        <v>495</v>
      </c>
      <c r="F1" s="465" t="s">
        <v>495</v>
      </c>
      <c r="G1" s="465"/>
      <c r="H1" s="465"/>
      <c r="I1" s="465" t="s">
        <v>495</v>
      </c>
      <c r="J1" s="496" t="s">
        <v>534</v>
      </c>
      <c r="K1" s="465" t="s">
        <v>495</v>
      </c>
      <c r="L1" s="465" t="s">
        <v>495</v>
      </c>
      <c r="M1" s="465" t="s">
        <v>495</v>
      </c>
      <c r="N1" s="496" t="s">
        <v>534</v>
      </c>
      <c r="O1" s="496" t="s">
        <v>534</v>
      </c>
      <c r="P1" s="496" t="s">
        <v>534</v>
      </c>
      <c r="Q1" s="496" t="s">
        <v>534</v>
      </c>
      <c r="R1" s="496" t="s">
        <v>534</v>
      </c>
      <c r="S1" s="496" t="s">
        <v>534</v>
      </c>
    </row>
    <row r="2" spans="1:21" ht="18">
      <c r="A2" s="244" t="s">
        <v>535</v>
      </c>
      <c r="B2" s="245"/>
      <c r="C2" s="245"/>
      <c r="D2" s="245"/>
      <c r="E2" s="245"/>
      <c r="F2" s="245"/>
      <c r="G2" s="245"/>
      <c r="H2" s="245"/>
      <c r="I2" s="245"/>
      <c r="J2" s="245"/>
      <c r="K2" s="245"/>
      <c r="L2" s="245"/>
      <c r="M2" s="245"/>
      <c r="N2" s="245"/>
      <c r="O2" s="245"/>
      <c r="P2" s="244"/>
      <c r="Q2" s="244"/>
      <c r="R2" s="244"/>
      <c r="S2" s="245"/>
    </row>
    <row r="3" spans="1:21" s="455" customFormat="1" ht="24.95" customHeight="1" thickBot="1">
      <c r="A3" s="454">
        <v>1</v>
      </c>
      <c r="B3" s="454">
        <v>2</v>
      </c>
      <c r="C3" s="454">
        <v>3</v>
      </c>
      <c r="D3" s="454">
        <v>4</v>
      </c>
      <c r="E3" s="454">
        <v>5</v>
      </c>
      <c r="F3" s="454">
        <v>6</v>
      </c>
      <c r="G3" s="454">
        <v>7</v>
      </c>
      <c r="H3" s="454">
        <v>8</v>
      </c>
      <c r="I3" s="454">
        <v>9</v>
      </c>
      <c r="J3" s="454">
        <v>10</v>
      </c>
      <c r="K3" s="454">
        <v>11</v>
      </c>
      <c r="L3" s="454">
        <v>12</v>
      </c>
      <c r="M3" s="454">
        <v>13</v>
      </c>
      <c r="N3" s="454">
        <v>14</v>
      </c>
      <c r="O3" s="454">
        <v>15</v>
      </c>
      <c r="P3" s="454">
        <v>16</v>
      </c>
      <c r="Q3" s="454">
        <v>17</v>
      </c>
      <c r="R3" s="497">
        <v>18</v>
      </c>
      <c r="S3" s="454">
        <v>19</v>
      </c>
    </row>
    <row r="4" spans="1:21" ht="20.100000000000001" customHeight="1" thickTop="1">
      <c r="B4" s="245"/>
      <c r="C4" s="245"/>
      <c r="D4" s="248" t="s">
        <v>536</v>
      </c>
      <c r="E4" s="249"/>
      <c r="F4" s="250"/>
      <c r="G4" s="250"/>
      <c r="H4" s="250"/>
      <c r="I4" s="250"/>
      <c r="J4" s="251"/>
      <c r="K4" s="456" t="s">
        <v>537</v>
      </c>
      <c r="L4" s="250"/>
      <c r="M4" s="251"/>
      <c r="N4" s="252" t="s">
        <v>538</v>
      </c>
      <c r="O4" s="253"/>
      <c r="P4" s="253"/>
      <c r="Q4" s="253"/>
      <c r="R4" s="253"/>
      <c r="S4" s="254"/>
    </row>
    <row r="5" spans="1:21" ht="71.25" customHeight="1" thickBot="1">
      <c r="A5" s="255" t="s">
        <v>271</v>
      </c>
      <c r="B5" s="255" t="s">
        <v>296</v>
      </c>
      <c r="C5" s="255" t="s">
        <v>272</v>
      </c>
      <c r="D5" s="256" t="s">
        <v>486</v>
      </c>
      <c r="E5" s="257" t="s">
        <v>274</v>
      </c>
      <c r="F5" s="257" t="s">
        <v>275</v>
      </c>
      <c r="G5" s="257" t="s">
        <v>284</v>
      </c>
      <c r="H5" s="257" t="s">
        <v>278</v>
      </c>
      <c r="I5" s="258" t="s">
        <v>279</v>
      </c>
      <c r="J5" s="259" t="s">
        <v>280</v>
      </c>
      <c r="K5" s="466" t="s">
        <v>497</v>
      </c>
      <c r="L5" s="467" t="s">
        <v>498</v>
      </c>
      <c r="M5" s="505" t="s">
        <v>499</v>
      </c>
      <c r="N5" s="506" t="s">
        <v>274</v>
      </c>
      <c r="O5" s="507" t="s">
        <v>275</v>
      </c>
      <c r="P5" s="508" t="s">
        <v>284</v>
      </c>
      <c r="Q5" s="508" t="s">
        <v>285</v>
      </c>
      <c r="R5" s="508" t="s">
        <v>286</v>
      </c>
      <c r="S5" s="267" t="s">
        <v>287</v>
      </c>
    </row>
    <row r="6" spans="1:21" ht="24.95" customHeight="1" thickTop="1">
      <c r="A6" s="268" t="s">
        <v>50</v>
      </c>
      <c r="B6" s="269" t="s">
        <v>14</v>
      </c>
      <c r="C6" s="270" t="s">
        <v>288</v>
      </c>
      <c r="D6" s="271">
        <v>159522</v>
      </c>
      <c r="E6" s="271">
        <v>5298</v>
      </c>
      <c r="F6" s="271">
        <v>30153</v>
      </c>
      <c r="G6" s="271">
        <v>7992</v>
      </c>
      <c r="H6" s="271">
        <v>89836</v>
      </c>
      <c r="I6" s="271">
        <v>26243</v>
      </c>
      <c r="J6" s="271">
        <f t="shared" ref="J6:J69" si="0">SUM(F6:H6)</f>
        <v>127981</v>
      </c>
      <c r="K6" s="468">
        <v>5.5999999999999994E-2</v>
      </c>
      <c r="L6" s="468">
        <v>0.20800000000000002</v>
      </c>
      <c r="M6" s="469">
        <v>0.16500000000000001</v>
      </c>
      <c r="N6" s="274">
        <f>E6*K6</f>
        <v>296.68799999999999</v>
      </c>
      <c r="O6" s="275">
        <f>F6*K6</f>
        <v>1688.5679999999998</v>
      </c>
      <c r="P6" s="275">
        <f>G6*L6</f>
        <v>1662.3360000000002</v>
      </c>
      <c r="Q6" s="275">
        <f>H6*L6</f>
        <v>18685.888000000003</v>
      </c>
      <c r="R6" s="275">
        <f>SUM(P6:Q6)</f>
        <v>20348.224000000002</v>
      </c>
      <c r="S6" s="275">
        <f>J6*M6</f>
        <v>21116.865000000002</v>
      </c>
      <c r="U6" s="498"/>
    </row>
    <row r="7" spans="1:21" ht="24.95" customHeight="1">
      <c r="A7" s="276" t="s">
        <v>123</v>
      </c>
      <c r="B7" s="277" t="s">
        <v>555</v>
      </c>
      <c r="C7" s="278" t="s">
        <v>288</v>
      </c>
      <c r="D7" s="279">
        <v>38715</v>
      </c>
      <c r="E7" s="279">
        <v>1106</v>
      </c>
      <c r="F7" s="279">
        <v>6851</v>
      </c>
      <c r="G7" s="279">
        <v>1331</v>
      </c>
      <c r="H7" s="279">
        <v>22107</v>
      </c>
      <c r="I7" s="279">
        <v>7320</v>
      </c>
      <c r="J7" s="279">
        <f t="shared" si="0"/>
        <v>30289</v>
      </c>
      <c r="K7" s="470">
        <v>5.5E-2</v>
      </c>
      <c r="L7" s="470">
        <v>0.20199999999999999</v>
      </c>
      <c r="M7" s="471">
        <v>0.16200000000000001</v>
      </c>
      <c r="N7" s="282">
        <f t="shared" ref="N7:N70" si="1">E7*K7</f>
        <v>60.83</v>
      </c>
      <c r="O7" s="283">
        <f t="shared" ref="O7:P70" si="2">F7*K7</f>
        <v>376.80500000000001</v>
      </c>
      <c r="P7" s="283">
        <f t="shared" si="2"/>
        <v>268.86199999999997</v>
      </c>
      <c r="Q7" s="283">
        <f t="shared" ref="Q7:Q70" si="3">H7*L7</f>
        <v>4465.6139999999996</v>
      </c>
      <c r="R7" s="283">
        <f t="shared" ref="R7:R70" si="4">SUM(P7:Q7)</f>
        <v>4734.4759999999997</v>
      </c>
      <c r="S7" s="283">
        <f t="shared" ref="S7:S70" si="5">J7*M7</f>
        <v>4906.8180000000002</v>
      </c>
      <c r="U7" s="498"/>
    </row>
    <row r="8" spans="1:21" ht="24.95" customHeight="1">
      <c r="A8" s="276" t="s">
        <v>124</v>
      </c>
      <c r="B8" s="277" t="s">
        <v>555</v>
      </c>
      <c r="C8" s="278" t="s">
        <v>289</v>
      </c>
      <c r="D8" s="279">
        <v>11219</v>
      </c>
      <c r="E8" s="279">
        <v>285</v>
      </c>
      <c r="F8" s="279">
        <v>1717</v>
      </c>
      <c r="G8" s="279">
        <v>380</v>
      </c>
      <c r="H8" s="279">
        <v>6057</v>
      </c>
      <c r="I8" s="279">
        <v>2780</v>
      </c>
      <c r="J8" s="279">
        <f t="shared" si="0"/>
        <v>8154</v>
      </c>
      <c r="K8" s="470">
        <v>0.10199999999999999</v>
      </c>
      <c r="L8" s="470">
        <v>0.24399999999999999</v>
      </c>
      <c r="M8" s="471">
        <v>0.21</v>
      </c>
      <c r="N8" s="282">
        <f t="shared" si="1"/>
        <v>29.069999999999997</v>
      </c>
      <c r="O8" s="283">
        <f t="shared" si="2"/>
        <v>175.13399999999999</v>
      </c>
      <c r="P8" s="283">
        <f t="shared" si="2"/>
        <v>92.72</v>
      </c>
      <c r="Q8" s="283">
        <f t="shared" si="3"/>
        <v>1477.9079999999999</v>
      </c>
      <c r="R8" s="283">
        <f t="shared" si="4"/>
        <v>1570.6279999999999</v>
      </c>
      <c r="S8" s="283">
        <f t="shared" si="5"/>
        <v>1712.34</v>
      </c>
      <c r="U8" s="498"/>
    </row>
    <row r="9" spans="1:21" ht="24.95" customHeight="1">
      <c r="A9" s="276" t="s">
        <v>114</v>
      </c>
      <c r="B9" s="277" t="s">
        <v>21</v>
      </c>
      <c r="C9" s="278" t="s">
        <v>289</v>
      </c>
      <c r="D9" s="279">
        <v>26466</v>
      </c>
      <c r="E9" s="279">
        <v>739</v>
      </c>
      <c r="F9" s="279">
        <v>4622</v>
      </c>
      <c r="G9" s="279">
        <v>917</v>
      </c>
      <c r="H9" s="279">
        <v>15743</v>
      </c>
      <c r="I9" s="279">
        <v>4445</v>
      </c>
      <c r="J9" s="279">
        <f t="shared" si="0"/>
        <v>21282</v>
      </c>
      <c r="K9" s="470">
        <v>5.5E-2</v>
      </c>
      <c r="L9" s="470">
        <v>0.20800000000000002</v>
      </c>
      <c r="M9" s="471">
        <v>0.16699999999999998</v>
      </c>
      <c r="N9" s="282">
        <f t="shared" si="1"/>
        <v>40.645000000000003</v>
      </c>
      <c r="O9" s="283">
        <f t="shared" si="2"/>
        <v>254.21</v>
      </c>
      <c r="P9" s="283">
        <f t="shared" si="2"/>
        <v>190.73600000000002</v>
      </c>
      <c r="Q9" s="283">
        <f t="shared" si="3"/>
        <v>3274.5440000000003</v>
      </c>
      <c r="R9" s="283">
        <f t="shared" si="4"/>
        <v>3465.28</v>
      </c>
      <c r="S9" s="283">
        <f t="shared" si="5"/>
        <v>3554.0939999999996</v>
      </c>
      <c r="U9" s="498"/>
    </row>
    <row r="10" spans="1:21" ht="24.95" customHeight="1">
      <c r="A10" s="276" t="s">
        <v>125</v>
      </c>
      <c r="B10" s="277" t="s">
        <v>555</v>
      </c>
      <c r="C10" s="278" t="s">
        <v>289</v>
      </c>
      <c r="D10" s="279">
        <v>27507</v>
      </c>
      <c r="E10" s="279">
        <v>726</v>
      </c>
      <c r="F10" s="279">
        <v>4359</v>
      </c>
      <c r="G10" s="279">
        <v>884</v>
      </c>
      <c r="H10" s="279">
        <v>14985</v>
      </c>
      <c r="I10" s="279">
        <v>6553</v>
      </c>
      <c r="J10" s="279">
        <f t="shared" si="0"/>
        <v>20228</v>
      </c>
      <c r="K10" s="470">
        <v>7.8E-2</v>
      </c>
      <c r="L10" s="470">
        <v>0.23699999999999999</v>
      </c>
      <c r="M10" s="471">
        <v>0.19800000000000001</v>
      </c>
      <c r="N10" s="282">
        <f t="shared" si="1"/>
        <v>56.628</v>
      </c>
      <c r="O10" s="283">
        <f t="shared" si="2"/>
        <v>340.00200000000001</v>
      </c>
      <c r="P10" s="283">
        <f t="shared" si="2"/>
        <v>209.50799999999998</v>
      </c>
      <c r="Q10" s="283">
        <f t="shared" si="3"/>
        <v>3551.4449999999997</v>
      </c>
      <c r="R10" s="283">
        <f t="shared" si="4"/>
        <v>3760.9529999999995</v>
      </c>
      <c r="S10" s="283">
        <f t="shared" si="5"/>
        <v>4005.1440000000002</v>
      </c>
      <c r="U10" s="498"/>
    </row>
    <row r="11" spans="1:21" ht="24.95" customHeight="1">
      <c r="A11" s="276" t="s">
        <v>126</v>
      </c>
      <c r="B11" s="277" t="s">
        <v>555</v>
      </c>
      <c r="C11" s="278" t="s">
        <v>289</v>
      </c>
      <c r="D11" s="279">
        <v>17903</v>
      </c>
      <c r="E11" s="279">
        <v>418</v>
      </c>
      <c r="F11" s="279">
        <v>2375</v>
      </c>
      <c r="G11" s="279">
        <v>629</v>
      </c>
      <c r="H11" s="279">
        <v>10754</v>
      </c>
      <c r="I11" s="279">
        <v>3727</v>
      </c>
      <c r="J11" s="279">
        <f t="shared" si="0"/>
        <v>13758</v>
      </c>
      <c r="K11" s="470">
        <v>8.3000000000000004E-2</v>
      </c>
      <c r="L11" s="470">
        <v>0.245</v>
      </c>
      <c r="M11" s="471">
        <v>0.20699999999999999</v>
      </c>
      <c r="N11" s="282">
        <f t="shared" si="1"/>
        <v>34.694000000000003</v>
      </c>
      <c r="O11" s="283">
        <f t="shared" si="2"/>
        <v>197.125</v>
      </c>
      <c r="P11" s="283">
        <f t="shared" si="2"/>
        <v>154.10499999999999</v>
      </c>
      <c r="Q11" s="283">
        <f t="shared" si="3"/>
        <v>2634.73</v>
      </c>
      <c r="R11" s="283">
        <f t="shared" si="4"/>
        <v>2788.835</v>
      </c>
      <c r="S11" s="283">
        <f t="shared" si="5"/>
        <v>2847.9059999999999</v>
      </c>
      <c r="U11" s="498"/>
    </row>
    <row r="12" spans="1:21" ht="24.95" customHeight="1">
      <c r="A12" s="276" t="s">
        <v>74</v>
      </c>
      <c r="B12" s="277" t="s">
        <v>482</v>
      </c>
      <c r="C12" s="278" t="s">
        <v>289</v>
      </c>
      <c r="D12" s="279">
        <v>47717</v>
      </c>
      <c r="E12" s="279">
        <v>1394</v>
      </c>
      <c r="F12" s="279">
        <v>8509</v>
      </c>
      <c r="G12" s="279">
        <v>1530</v>
      </c>
      <c r="H12" s="279">
        <v>25311</v>
      </c>
      <c r="I12" s="279">
        <v>10973</v>
      </c>
      <c r="J12" s="279">
        <f t="shared" si="0"/>
        <v>35350</v>
      </c>
      <c r="K12" s="470">
        <v>6.7000000000000004E-2</v>
      </c>
      <c r="L12" s="470">
        <v>0.18899999999999997</v>
      </c>
      <c r="M12" s="471">
        <v>0.156</v>
      </c>
      <c r="N12" s="282">
        <f t="shared" si="1"/>
        <v>93.39800000000001</v>
      </c>
      <c r="O12" s="283">
        <f t="shared" si="2"/>
        <v>570.10300000000007</v>
      </c>
      <c r="P12" s="283">
        <f t="shared" si="2"/>
        <v>289.16999999999996</v>
      </c>
      <c r="Q12" s="283">
        <f t="shared" si="3"/>
        <v>4783.7789999999995</v>
      </c>
      <c r="R12" s="283">
        <f t="shared" si="4"/>
        <v>5072.9489999999996</v>
      </c>
      <c r="S12" s="283">
        <f t="shared" si="5"/>
        <v>5514.6</v>
      </c>
      <c r="U12" s="498"/>
    </row>
    <row r="13" spans="1:21" ht="24.95" customHeight="1">
      <c r="A13" s="284" t="s">
        <v>75</v>
      </c>
      <c r="B13" s="285" t="s">
        <v>482</v>
      </c>
      <c r="C13" s="286" t="s">
        <v>289</v>
      </c>
      <c r="D13" s="279">
        <v>20100</v>
      </c>
      <c r="E13" s="279">
        <v>555</v>
      </c>
      <c r="F13" s="279">
        <v>3320</v>
      </c>
      <c r="G13" s="279">
        <v>748</v>
      </c>
      <c r="H13" s="279">
        <v>11618</v>
      </c>
      <c r="I13" s="279">
        <v>3859</v>
      </c>
      <c r="J13" s="279">
        <f t="shared" si="0"/>
        <v>15686</v>
      </c>
      <c r="K13" s="470">
        <v>4.7E-2</v>
      </c>
      <c r="L13" s="470">
        <v>0.17600000000000002</v>
      </c>
      <c r="M13" s="471">
        <v>0.14400000000000002</v>
      </c>
      <c r="N13" s="282">
        <f t="shared" si="1"/>
        <v>26.085000000000001</v>
      </c>
      <c r="O13" s="283">
        <f t="shared" si="2"/>
        <v>156.04</v>
      </c>
      <c r="P13" s="283">
        <f t="shared" si="2"/>
        <v>131.64800000000002</v>
      </c>
      <c r="Q13" s="283">
        <f t="shared" si="3"/>
        <v>2044.7680000000003</v>
      </c>
      <c r="R13" s="283">
        <f t="shared" si="4"/>
        <v>2176.4160000000002</v>
      </c>
      <c r="S13" s="283">
        <f t="shared" si="5"/>
        <v>2258.7840000000001</v>
      </c>
      <c r="U13" s="498"/>
    </row>
    <row r="14" spans="1:21" ht="24.95" customHeight="1">
      <c r="A14" s="284" t="s">
        <v>93</v>
      </c>
      <c r="B14" s="285" t="s">
        <v>18</v>
      </c>
      <c r="C14" s="286" t="s">
        <v>289</v>
      </c>
      <c r="D14" s="279">
        <v>35194</v>
      </c>
      <c r="E14" s="279">
        <v>1079</v>
      </c>
      <c r="F14" s="279">
        <v>6357</v>
      </c>
      <c r="G14" s="279">
        <v>1307</v>
      </c>
      <c r="H14" s="279">
        <v>19687</v>
      </c>
      <c r="I14" s="279">
        <v>6764</v>
      </c>
      <c r="J14" s="279">
        <f t="shared" si="0"/>
        <v>27351</v>
      </c>
      <c r="K14" s="470">
        <v>6.7000000000000004E-2</v>
      </c>
      <c r="L14" s="470">
        <v>0.23</v>
      </c>
      <c r="M14" s="471">
        <v>0.18600000000000003</v>
      </c>
      <c r="N14" s="282">
        <f t="shared" si="1"/>
        <v>72.293000000000006</v>
      </c>
      <c r="O14" s="283">
        <f t="shared" si="2"/>
        <v>425.91900000000004</v>
      </c>
      <c r="P14" s="283">
        <f t="shared" si="2"/>
        <v>300.61</v>
      </c>
      <c r="Q14" s="283">
        <f t="shared" si="3"/>
        <v>4528.01</v>
      </c>
      <c r="R14" s="283">
        <f t="shared" si="4"/>
        <v>4828.62</v>
      </c>
      <c r="S14" s="283">
        <f t="shared" si="5"/>
        <v>5087.286000000001</v>
      </c>
      <c r="U14" s="498"/>
    </row>
    <row r="15" spans="1:21" ht="24.95" customHeight="1">
      <c r="A15" s="284" t="s">
        <v>69</v>
      </c>
      <c r="B15" s="285" t="s">
        <v>482</v>
      </c>
      <c r="C15" s="286" t="s">
        <v>288</v>
      </c>
      <c r="D15" s="279">
        <v>124668</v>
      </c>
      <c r="E15" s="279">
        <v>3246</v>
      </c>
      <c r="F15" s="279">
        <v>18450</v>
      </c>
      <c r="G15" s="279">
        <v>3137</v>
      </c>
      <c r="H15" s="279">
        <v>64748</v>
      </c>
      <c r="I15" s="279">
        <v>35087</v>
      </c>
      <c r="J15" s="279">
        <f t="shared" si="0"/>
        <v>86335</v>
      </c>
      <c r="K15" s="470">
        <v>6.3E-2</v>
      </c>
      <c r="L15" s="470">
        <v>0.20800000000000002</v>
      </c>
      <c r="M15" s="471">
        <v>0.17399999999999999</v>
      </c>
      <c r="N15" s="282">
        <f t="shared" si="1"/>
        <v>204.49799999999999</v>
      </c>
      <c r="O15" s="283">
        <f t="shared" si="2"/>
        <v>1162.3499999999999</v>
      </c>
      <c r="P15" s="283">
        <f t="shared" si="2"/>
        <v>652.49600000000009</v>
      </c>
      <c r="Q15" s="283">
        <f t="shared" si="3"/>
        <v>13467.584000000001</v>
      </c>
      <c r="R15" s="283">
        <f t="shared" si="4"/>
        <v>14120.080000000002</v>
      </c>
      <c r="S15" s="283">
        <f t="shared" si="5"/>
        <v>15022.289999999999</v>
      </c>
      <c r="U15" s="498"/>
    </row>
    <row r="16" spans="1:21" ht="24.95" customHeight="1">
      <c r="A16" s="284" t="s">
        <v>127</v>
      </c>
      <c r="B16" s="285" t="s">
        <v>555</v>
      </c>
      <c r="C16" s="286" t="s">
        <v>288</v>
      </c>
      <c r="D16" s="279">
        <v>257413</v>
      </c>
      <c r="E16" s="279">
        <v>7813</v>
      </c>
      <c r="F16" s="279">
        <v>42095</v>
      </c>
      <c r="G16" s="279">
        <v>8433</v>
      </c>
      <c r="H16" s="279">
        <v>150584</v>
      </c>
      <c r="I16" s="279">
        <v>48488</v>
      </c>
      <c r="J16" s="279">
        <f t="shared" si="0"/>
        <v>201112</v>
      </c>
      <c r="K16" s="470">
        <v>5.4000000000000006E-2</v>
      </c>
      <c r="L16" s="470">
        <v>0.18100000000000002</v>
      </c>
      <c r="M16" s="471">
        <v>0.15</v>
      </c>
      <c r="N16" s="282">
        <f t="shared" si="1"/>
        <v>421.90200000000004</v>
      </c>
      <c r="O16" s="283">
        <f t="shared" si="2"/>
        <v>2273.13</v>
      </c>
      <c r="P16" s="283">
        <f t="shared" si="2"/>
        <v>1526.3730000000003</v>
      </c>
      <c r="Q16" s="283">
        <f t="shared" si="3"/>
        <v>27255.704000000002</v>
      </c>
      <c r="R16" s="283">
        <f t="shared" si="4"/>
        <v>28782.077000000001</v>
      </c>
      <c r="S16" s="283">
        <f t="shared" si="5"/>
        <v>30166.799999999999</v>
      </c>
      <c r="U16" s="498"/>
    </row>
    <row r="17" spans="1:21" ht="24.95" customHeight="1">
      <c r="A17" s="284" t="s">
        <v>106</v>
      </c>
      <c r="B17" s="285" t="s">
        <v>20</v>
      </c>
      <c r="C17" s="286" t="s">
        <v>288</v>
      </c>
      <c r="D17" s="279">
        <v>89198</v>
      </c>
      <c r="E17" s="279">
        <v>2546</v>
      </c>
      <c r="F17" s="279">
        <v>15622</v>
      </c>
      <c r="G17" s="279">
        <v>4362</v>
      </c>
      <c r="H17" s="279">
        <v>49671</v>
      </c>
      <c r="I17" s="279">
        <v>16997</v>
      </c>
      <c r="J17" s="279">
        <f t="shared" si="0"/>
        <v>69655</v>
      </c>
      <c r="K17" s="470">
        <v>5.5999999999999994E-2</v>
      </c>
      <c r="L17" s="470">
        <v>0.21</v>
      </c>
      <c r="M17" s="471">
        <v>0.17199999999999999</v>
      </c>
      <c r="N17" s="282">
        <f t="shared" si="1"/>
        <v>142.57599999999999</v>
      </c>
      <c r="O17" s="283">
        <f t="shared" si="2"/>
        <v>874.83199999999988</v>
      </c>
      <c r="P17" s="283">
        <f t="shared" si="2"/>
        <v>916.02</v>
      </c>
      <c r="Q17" s="283">
        <f t="shared" si="3"/>
        <v>10430.91</v>
      </c>
      <c r="R17" s="283">
        <f t="shared" si="4"/>
        <v>11346.93</v>
      </c>
      <c r="S17" s="283">
        <f t="shared" si="5"/>
        <v>11980.66</v>
      </c>
      <c r="U17" s="498"/>
    </row>
    <row r="18" spans="1:21" ht="24.95" customHeight="1">
      <c r="A18" s="284" t="s">
        <v>51</v>
      </c>
      <c r="B18" s="285" t="s">
        <v>14</v>
      </c>
      <c r="C18" s="286" t="s">
        <v>288</v>
      </c>
      <c r="D18" s="279">
        <v>200827</v>
      </c>
      <c r="E18" s="279">
        <v>7258</v>
      </c>
      <c r="F18" s="279">
        <v>43534</v>
      </c>
      <c r="G18" s="279">
        <v>7828</v>
      </c>
      <c r="H18" s="279">
        <v>116422</v>
      </c>
      <c r="I18" s="279">
        <v>25785</v>
      </c>
      <c r="J18" s="279">
        <f t="shared" si="0"/>
        <v>167784</v>
      </c>
      <c r="K18" s="470">
        <v>5.2000000000000005E-2</v>
      </c>
      <c r="L18" s="470">
        <v>0.17</v>
      </c>
      <c r="M18" s="471">
        <v>0.13400000000000001</v>
      </c>
      <c r="N18" s="282">
        <f t="shared" si="1"/>
        <v>377.41600000000005</v>
      </c>
      <c r="O18" s="283">
        <f t="shared" si="2"/>
        <v>2263.768</v>
      </c>
      <c r="P18" s="283">
        <f t="shared" si="2"/>
        <v>1330.76</v>
      </c>
      <c r="Q18" s="283">
        <f t="shared" si="3"/>
        <v>19791.740000000002</v>
      </c>
      <c r="R18" s="283">
        <f t="shared" si="4"/>
        <v>21122.5</v>
      </c>
      <c r="S18" s="283">
        <f t="shared" si="5"/>
        <v>22483.056</v>
      </c>
      <c r="U18" s="498"/>
    </row>
    <row r="19" spans="1:21" ht="24.95" customHeight="1">
      <c r="A19" s="284" t="s">
        <v>128</v>
      </c>
      <c r="B19" s="285" t="s">
        <v>555</v>
      </c>
      <c r="C19" s="286" t="s">
        <v>288</v>
      </c>
      <c r="D19" s="279">
        <v>82350</v>
      </c>
      <c r="E19" s="279">
        <v>2388</v>
      </c>
      <c r="F19" s="279">
        <v>14439</v>
      </c>
      <c r="G19" s="279">
        <v>3308</v>
      </c>
      <c r="H19" s="279">
        <v>47100</v>
      </c>
      <c r="I19" s="279">
        <v>15115</v>
      </c>
      <c r="J19" s="279">
        <f t="shared" si="0"/>
        <v>64847</v>
      </c>
      <c r="K19" s="470">
        <v>4.7E-2</v>
      </c>
      <c r="L19" s="470">
        <v>0.21199999999999999</v>
      </c>
      <c r="M19" s="471">
        <v>0.17</v>
      </c>
      <c r="N19" s="282">
        <f t="shared" si="1"/>
        <v>112.236</v>
      </c>
      <c r="O19" s="283">
        <f t="shared" si="2"/>
        <v>678.63300000000004</v>
      </c>
      <c r="P19" s="283">
        <f t="shared" si="2"/>
        <v>701.29599999999994</v>
      </c>
      <c r="Q19" s="283">
        <f t="shared" si="3"/>
        <v>9985.1999999999989</v>
      </c>
      <c r="R19" s="283">
        <f t="shared" si="4"/>
        <v>10686.495999999999</v>
      </c>
      <c r="S19" s="283">
        <f t="shared" si="5"/>
        <v>11023.990000000002</v>
      </c>
      <c r="U19" s="498"/>
    </row>
    <row r="20" spans="1:21" ht="24.95" customHeight="1">
      <c r="A20" s="284" t="s">
        <v>76</v>
      </c>
      <c r="B20" s="285" t="s">
        <v>482</v>
      </c>
      <c r="C20" s="286" t="s">
        <v>289</v>
      </c>
      <c r="D20" s="279">
        <v>10431</v>
      </c>
      <c r="E20" s="279">
        <v>306</v>
      </c>
      <c r="F20" s="279">
        <v>1928</v>
      </c>
      <c r="G20" s="279">
        <v>377</v>
      </c>
      <c r="H20" s="279">
        <v>6184</v>
      </c>
      <c r="I20" s="279">
        <v>1636</v>
      </c>
      <c r="J20" s="279">
        <f t="shared" si="0"/>
        <v>8489</v>
      </c>
      <c r="K20" s="470">
        <v>6.7000000000000004E-2</v>
      </c>
      <c r="L20" s="470">
        <v>0.16</v>
      </c>
      <c r="M20" s="471">
        <v>0.13300000000000001</v>
      </c>
      <c r="N20" s="282">
        <f t="shared" si="1"/>
        <v>20.502000000000002</v>
      </c>
      <c r="O20" s="283">
        <f t="shared" si="2"/>
        <v>129.17600000000002</v>
      </c>
      <c r="P20" s="283">
        <f t="shared" si="2"/>
        <v>60.32</v>
      </c>
      <c r="Q20" s="283">
        <f t="shared" si="3"/>
        <v>989.44</v>
      </c>
      <c r="R20" s="283">
        <f t="shared" si="4"/>
        <v>1049.76</v>
      </c>
      <c r="S20" s="283">
        <f t="shared" si="5"/>
        <v>1129.037</v>
      </c>
      <c r="U20" s="498"/>
    </row>
    <row r="21" spans="1:21" ht="24.95" customHeight="1">
      <c r="A21" s="284" t="s">
        <v>70</v>
      </c>
      <c r="B21" s="285" t="s">
        <v>482</v>
      </c>
      <c r="C21" s="286" t="s">
        <v>289</v>
      </c>
      <c r="D21" s="279">
        <v>69706</v>
      </c>
      <c r="E21" s="279">
        <v>1829</v>
      </c>
      <c r="F21" s="279">
        <v>10480</v>
      </c>
      <c r="G21" s="279">
        <v>2151</v>
      </c>
      <c r="H21" s="279">
        <v>39046</v>
      </c>
      <c r="I21" s="279">
        <v>16200</v>
      </c>
      <c r="J21" s="279">
        <f t="shared" si="0"/>
        <v>51677</v>
      </c>
      <c r="K21" s="470">
        <v>0.06</v>
      </c>
      <c r="L21" s="470">
        <v>0.19500000000000001</v>
      </c>
      <c r="M21" s="471">
        <v>0.16300000000000001</v>
      </c>
      <c r="N21" s="282">
        <f t="shared" si="1"/>
        <v>109.74</v>
      </c>
      <c r="O21" s="283">
        <f t="shared" si="2"/>
        <v>628.79999999999995</v>
      </c>
      <c r="P21" s="283">
        <f t="shared" si="2"/>
        <v>419.44499999999999</v>
      </c>
      <c r="Q21" s="283">
        <f t="shared" si="3"/>
        <v>7613.97</v>
      </c>
      <c r="R21" s="283">
        <f t="shared" si="4"/>
        <v>8033.415</v>
      </c>
      <c r="S21" s="283">
        <f t="shared" si="5"/>
        <v>8423.3510000000006</v>
      </c>
      <c r="U21" s="498"/>
    </row>
    <row r="22" spans="1:21" ht="24.95" customHeight="1">
      <c r="A22" s="284" t="s">
        <v>52</v>
      </c>
      <c r="B22" s="285" t="s">
        <v>14</v>
      </c>
      <c r="C22" s="286" t="s">
        <v>289</v>
      </c>
      <c r="D22" s="279">
        <v>23627</v>
      </c>
      <c r="E22" s="279">
        <v>634</v>
      </c>
      <c r="F22" s="279">
        <v>3717</v>
      </c>
      <c r="G22" s="279">
        <v>732</v>
      </c>
      <c r="H22" s="279">
        <v>13993</v>
      </c>
      <c r="I22" s="279">
        <v>4551</v>
      </c>
      <c r="J22" s="279">
        <f t="shared" si="0"/>
        <v>18442</v>
      </c>
      <c r="K22" s="470">
        <v>5.5999999999999994E-2</v>
      </c>
      <c r="L22" s="470">
        <v>0.193</v>
      </c>
      <c r="M22" s="471">
        <v>0.158</v>
      </c>
      <c r="N22" s="282">
        <f t="shared" si="1"/>
        <v>35.503999999999998</v>
      </c>
      <c r="O22" s="283">
        <f t="shared" si="2"/>
        <v>208.15199999999999</v>
      </c>
      <c r="P22" s="283">
        <f t="shared" si="2"/>
        <v>141.27600000000001</v>
      </c>
      <c r="Q22" s="283">
        <f t="shared" si="3"/>
        <v>2700.6489999999999</v>
      </c>
      <c r="R22" s="283">
        <f t="shared" si="4"/>
        <v>2841.9249999999997</v>
      </c>
      <c r="S22" s="283">
        <f t="shared" si="5"/>
        <v>2913.8360000000002</v>
      </c>
      <c r="U22" s="498"/>
    </row>
    <row r="23" spans="1:21" ht="24.95" customHeight="1">
      <c r="A23" s="284" t="s">
        <v>107</v>
      </c>
      <c r="B23" s="285" t="s">
        <v>20</v>
      </c>
      <c r="C23" s="286" t="s">
        <v>288</v>
      </c>
      <c r="D23" s="279">
        <v>156532</v>
      </c>
      <c r="E23" s="279">
        <v>5196</v>
      </c>
      <c r="F23" s="279">
        <v>29869</v>
      </c>
      <c r="G23" s="279">
        <v>6155</v>
      </c>
      <c r="H23" s="279">
        <v>89102</v>
      </c>
      <c r="I23" s="279">
        <v>26210</v>
      </c>
      <c r="J23" s="279">
        <f t="shared" si="0"/>
        <v>125126</v>
      </c>
      <c r="K23" s="470">
        <v>5.5999999999999994E-2</v>
      </c>
      <c r="L23" s="470">
        <v>0.192</v>
      </c>
      <c r="M23" s="471">
        <v>0.154</v>
      </c>
      <c r="N23" s="282">
        <f t="shared" si="1"/>
        <v>290.97599999999994</v>
      </c>
      <c r="O23" s="283">
        <f t="shared" si="2"/>
        <v>1672.6639999999998</v>
      </c>
      <c r="P23" s="283">
        <f t="shared" si="2"/>
        <v>1181.76</v>
      </c>
      <c r="Q23" s="283">
        <f t="shared" si="3"/>
        <v>17107.583999999999</v>
      </c>
      <c r="R23" s="283">
        <f t="shared" si="4"/>
        <v>18289.343999999997</v>
      </c>
      <c r="S23" s="283">
        <f t="shared" si="5"/>
        <v>19269.403999999999</v>
      </c>
      <c r="U23" s="498"/>
    </row>
    <row r="24" spans="1:21" ht="24.95" customHeight="1">
      <c r="A24" s="284" t="s">
        <v>53</v>
      </c>
      <c r="B24" s="285" t="s">
        <v>14</v>
      </c>
      <c r="C24" s="286" t="s">
        <v>288</v>
      </c>
      <c r="D24" s="279">
        <v>70981</v>
      </c>
      <c r="E24" s="279">
        <v>1914</v>
      </c>
      <c r="F24" s="279">
        <v>11983</v>
      </c>
      <c r="G24" s="279">
        <v>2087</v>
      </c>
      <c r="H24" s="279">
        <v>38235</v>
      </c>
      <c r="I24" s="279">
        <v>16762</v>
      </c>
      <c r="J24" s="279">
        <f t="shared" si="0"/>
        <v>52305</v>
      </c>
      <c r="K24" s="470">
        <v>7.0999999999999994E-2</v>
      </c>
      <c r="L24" s="470">
        <v>0.18899999999999997</v>
      </c>
      <c r="M24" s="471">
        <v>0.157</v>
      </c>
      <c r="N24" s="282">
        <f t="shared" si="1"/>
        <v>135.89399999999998</v>
      </c>
      <c r="O24" s="283">
        <f t="shared" si="2"/>
        <v>850.79299999999989</v>
      </c>
      <c r="P24" s="283">
        <f t="shared" si="2"/>
        <v>394.44299999999993</v>
      </c>
      <c r="Q24" s="283">
        <f t="shared" si="3"/>
        <v>7226.4149999999991</v>
      </c>
      <c r="R24" s="283">
        <f t="shared" si="4"/>
        <v>7620.8579999999993</v>
      </c>
      <c r="S24" s="283">
        <f t="shared" si="5"/>
        <v>8211.8850000000002</v>
      </c>
      <c r="U24" s="498"/>
    </row>
    <row r="25" spans="1:21" ht="24.95" customHeight="1">
      <c r="A25" s="284" t="s">
        <v>129</v>
      </c>
      <c r="B25" s="285" t="s">
        <v>555</v>
      </c>
      <c r="C25" s="286" t="s">
        <v>289</v>
      </c>
      <c r="D25" s="279">
        <v>27524</v>
      </c>
      <c r="E25" s="279">
        <v>693</v>
      </c>
      <c r="F25" s="279">
        <v>4186</v>
      </c>
      <c r="G25" s="279">
        <v>827</v>
      </c>
      <c r="H25" s="279">
        <v>14125</v>
      </c>
      <c r="I25" s="279">
        <v>7693</v>
      </c>
      <c r="J25" s="279">
        <f t="shared" si="0"/>
        <v>19138</v>
      </c>
      <c r="K25" s="470">
        <v>7.6999999999999999E-2</v>
      </c>
      <c r="L25" s="470">
        <v>0.23</v>
      </c>
      <c r="M25" s="471">
        <v>0.192</v>
      </c>
      <c r="N25" s="282">
        <f t="shared" si="1"/>
        <v>53.360999999999997</v>
      </c>
      <c r="O25" s="283">
        <f t="shared" si="2"/>
        <v>322.322</v>
      </c>
      <c r="P25" s="283">
        <f t="shared" si="2"/>
        <v>190.21</v>
      </c>
      <c r="Q25" s="283">
        <f t="shared" si="3"/>
        <v>3248.75</v>
      </c>
      <c r="R25" s="283">
        <f t="shared" si="4"/>
        <v>3438.96</v>
      </c>
      <c r="S25" s="283">
        <f t="shared" si="5"/>
        <v>3674.4960000000001</v>
      </c>
      <c r="U25" s="498"/>
    </row>
    <row r="26" spans="1:21" ht="24.95" customHeight="1">
      <c r="A26" s="284" t="s">
        <v>77</v>
      </c>
      <c r="B26" s="285" t="s">
        <v>482</v>
      </c>
      <c r="C26" s="286" t="s">
        <v>289</v>
      </c>
      <c r="D26" s="279">
        <v>14669</v>
      </c>
      <c r="E26" s="279">
        <v>439</v>
      </c>
      <c r="F26" s="279">
        <v>2615</v>
      </c>
      <c r="G26" s="279">
        <v>496</v>
      </c>
      <c r="H26" s="279">
        <v>7771</v>
      </c>
      <c r="I26" s="279">
        <v>3348</v>
      </c>
      <c r="J26" s="279">
        <f t="shared" si="0"/>
        <v>10882</v>
      </c>
      <c r="K26" s="470">
        <v>6.7000000000000004E-2</v>
      </c>
      <c r="L26" s="470">
        <v>0.2</v>
      </c>
      <c r="M26" s="471">
        <v>0.16300000000000001</v>
      </c>
      <c r="N26" s="282">
        <f t="shared" si="1"/>
        <v>29.413</v>
      </c>
      <c r="O26" s="283">
        <f t="shared" si="2"/>
        <v>175.20500000000001</v>
      </c>
      <c r="P26" s="283">
        <f t="shared" si="2"/>
        <v>99.2</v>
      </c>
      <c r="Q26" s="283">
        <f t="shared" si="3"/>
        <v>1554.2</v>
      </c>
      <c r="R26" s="283">
        <f t="shared" si="4"/>
        <v>1653.4</v>
      </c>
      <c r="S26" s="283">
        <f t="shared" si="5"/>
        <v>1773.7660000000001</v>
      </c>
      <c r="U26" s="498"/>
    </row>
    <row r="27" spans="1:21" ht="24.95" customHeight="1">
      <c r="A27" s="284" t="s">
        <v>130</v>
      </c>
      <c r="B27" s="285" t="s">
        <v>555</v>
      </c>
      <c r="C27" s="286" t="s">
        <v>289</v>
      </c>
      <c r="D27" s="279">
        <v>10855</v>
      </c>
      <c r="E27" s="279">
        <v>265</v>
      </c>
      <c r="F27" s="279">
        <v>1607</v>
      </c>
      <c r="G27" s="279">
        <v>336</v>
      </c>
      <c r="H27" s="279">
        <v>5507</v>
      </c>
      <c r="I27" s="279">
        <v>3140</v>
      </c>
      <c r="J27" s="279">
        <f t="shared" si="0"/>
        <v>7450</v>
      </c>
      <c r="K27" s="470">
        <v>9.0999999999999998E-2</v>
      </c>
      <c r="L27" s="470">
        <v>0.223</v>
      </c>
      <c r="M27" s="471">
        <v>0.19</v>
      </c>
      <c r="N27" s="282">
        <f t="shared" si="1"/>
        <v>24.114999999999998</v>
      </c>
      <c r="O27" s="283">
        <f t="shared" si="2"/>
        <v>146.23699999999999</v>
      </c>
      <c r="P27" s="283">
        <f t="shared" si="2"/>
        <v>74.927999999999997</v>
      </c>
      <c r="Q27" s="283">
        <f t="shared" si="3"/>
        <v>1228.0609999999999</v>
      </c>
      <c r="R27" s="283">
        <f t="shared" si="4"/>
        <v>1302.989</v>
      </c>
      <c r="S27" s="283">
        <f t="shared" si="5"/>
        <v>1415.5</v>
      </c>
      <c r="U27" s="498"/>
    </row>
    <row r="28" spans="1:21" ht="24.95" customHeight="1">
      <c r="A28" s="284" t="s">
        <v>108</v>
      </c>
      <c r="B28" s="285" t="s">
        <v>20</v>
      </c>
      <c r="C28" s="286" t="s">
        <v>289</v>
      </c>
      <c r="D28" s="279">
        <v>98532</v>
      </c>
      <c r="E28" s="279">
        <v>3120</v>
      </c>
      <c r="F28" s="279">
        <v>18187</v>
      </c>
      <c r="G28" s="279">
        <v>4337</v>
      </c>
      <c r="H28" s="279">
        <v>55443</v>
      </c>
      <c r="I28" s="279">
        <v>17445</v>
      </c>
      <c r="J28" s="279">
        <f t="shared" si="0"/>
        <v>77967</v>
      </c>
      <c r="K28" s="470">
        <v>4.5999999999999999E-2</v>
      </c>
      <c r="L28" s="470">
        <v>0.17699999999999999</v>
      </c>
      <c r="M28" s="471">
        <v>0.14099999999999999</v>
      </c>
      <c r="N28" s="282">
        <f t="shared" si="1"/>
        <v>143.52000000000001</v>
      </c>
      <c r="O28" s="283">
        <f t="shared" si="2"/>
        <v>836.60199999999998</v>
      </c>
      <c r="P28" s="283">
        <f t="shared" si="2"/>
        <v>767.649</v>
      </c>
      <c r="Q28" s="283">
        <f t="shared" si="3"/>
        <v>9813.4110000000001</v>
      </c>
      <c r="R28" s="283">
        <f t="shared" si="4"/>
        <v>10581.06</v>
      </c>
      <c r="S28" s="283">
        <f t="shared" si="5"/>
        <v>10993.347</v>
      </c>
      <c r="U28" s="498"/>
    </row>
    <row r="29" spans="1:21" ht="24.95" customHeight="1">
      <c r="A29" s="284" t="s">
        <v>94</v>
      </c>
      <c r="B29" s="285" t="s">
        <v>18</v>
      </c>
      <c r="C29" s="286" t="s">
        <v>289</v>
      </c>
      <c r="D29" s="279">
        <v>57579</v>
      </c>
      <c r="E29" s="279">
        <v>1822</v>
      </c>
      <c r="F29" s="279">
        <v>10569</v>
      </c>
      <c r="G29" s="279">
        <v>2236</v>
      </c>
      <c r="H29" s="279">
        <v>32588</v>
      </c>
      <c r="I29" s="279">
        <v>10364</v>
      </c>
      <c r="J29" s="279">
        <f t="shared" si="0"/>
        <v>45393</v>
      </c>
      <c r="K29" s="470">
        <v>6.4000000000000001E-2</v>
      </c>
      <c r="L29" s="470">
        <v>0.22800000000000001</v>
      </c>
      <c r="M29" s="471">
        <v>0.182</v>
      </c>
      <c r="N29" s="282">
        <f t="shared" si="1"/>
        <v>116.608</v>
      </c>
      <c r="O29" s="283">
        <f t="shared" si="2"/>
        <v>676.41600000000005</v>
      </c>
      <c r="P29" s="283">
        <f t="shared" si="2"/>
        <v>509.80799999999999</v>
      </c>
      <c r="Q29" s="283">
        <f t="shared" si="3"/>
        <v>7430.0640000000003</v>
      </c>
      <c r="R29" s="283">
        <f t="shared" si="4"/>
        <v>7939.8720000000003</v>
      </c>
      <c r="S29" s="283">
        <f t="shared" si="5"/>
        <v>8261.5259999999998</v>
      </c>
      <c r="U29" s="498"/>
    </row>
    <row r="30" spans="1:21" ht="24.95" customHeight="1">
      <c r="A30" s="284" t="s">
        <v>78</v>
      </c>
      <c r="B30" s="285" t="s">
        <v>482</v>
      </c>
      <c r="C30" s="286" t="s">
        <v>288</v>
      </c>
      <c r="D30" s="279">
        <v>105773</v>
      </c>
      <c r="E30" s="279">
        <v>4511</v>
      </c>
      <c r="F30" s="279">
        <v>21922</v>
      </c>
      <c r="G30" s="279">
        <v>4707</v>
      </c>
      <c r="H30" s="279">
        <v>56850</v>
      </c>
      <c r="I30" s="279">
        <v>17783</v>
      </c>
      <c r="J30" s="279">
        <f t="shared" si="0"/>
        <v>83479</v>
      </c>
      <c r="K30" s="470">
        <v>0.05</v>
      </c>
      <c r="L30" s="470">
        <v>0.183</v>
      </c>
      <c r="M30" s="471">
        <v>0.14499999999999999</v>
      </c>
      <c r="N30" s="282">
        <f t="shared" si="1"/>
        <v>225.55</v>
      </c>
      <c r="O30" s="283">
        <f t="shared" si="2"/>
        <v>1096.1000000000001</v>
      </c>
      <c r="P30" s="283">
        <f t="shared" si="2"/>
        <v>861.38099999999997</v>
      </c>
      <c r="Q30" s="283">
        <f t="shared" si="3"/>
        <v>10403.549999999999</v>
      </c>
      <c r="R30" s="283">
        <f t="shared" si="4"/>
        <v>11264.930999999999</v>
      </c>
      <c r="S30" s="283">
        <f t="shared" si="5"/>
        <v>12104.455</v>
      </c>
      <c r="U30" s="498"/>
    </row>
    <row r="31" spans="1:21" ht="24.95" customHeight="1">
      <c r="A31" s="284" t="s">
        <v>46</v>
      </c>
      <c r="B31" s="285" t="s">
        <v>13</v>
      </c>
      <c r="C31" s="286" t="s">
        <v>288</v>
      </c>
      <c r="D31" s="279">
        <v>333073</v>
      </c>
      <c r="E31" s="279">
        <v>16245</v>
      </c>
      <c r="F31" s="279">
        <v>72833</v>
      </c>
      <c r="G31" s="279">
        <v>15431</v>
      </c>
      <c r="H31" s="279">
        <v>189745</v>
      </c>
      <c r="I31" s="279">
        <v>38819</v>
      </c>
      <c r="J31" s="279">
        <f t="shared" si="0"/>
        <v>278009</v>
      </c>
      <c r="K31" s="470">
        <v>4.9000000000000002E-2</v>
      </c>
      <c r="L31" s="470">
        <v>0.17</v>
      </c>
      <c r="M31" s="471">
        <v>0.13400000000000001</v>
      </c>
      <c r="N31" s="282">
        <f t="shared" si="1"/>
        <v>796.005</v>
      </c>
      <c r="O31" s="283">
        <f t="shared" si="2"/>
        <v>3568.817</v>
      </c>
      <c r="P31" s="283">
        <f t="shared" si="2"/>
        <v>2623.27</v>
      </c>
      <c r="Q31" s="283">
        <f t="shared" si="3"/>
        <v>32256.65</v>
      </c>
      <c r="R31" s="283">
        <f t="shared" si="4"/>
        <v>34879.919999999998</v>
      </c>
      <c r="S31" s="283">
        <f t="shared" si="5"/>
        <v>37253.206000000006</v>
      </c>
      <c r="U31" s="498"/>
    </row>
    <row r="32" spans="1:21" ht="24.95" customHeight="1">
      <c r="A32" s="284" t="s">
        <v>79</v>
      </c>
      <c r="B32" s="285" t="s">
        <v>482</v>
      </c>
      <c r="C32" s="286" t="s">
        <v>288</v>
      </c>
      <c r="D32" s="279">
        <v>26160</v>
      </c>
      <c r="E32" s="279">
        <v>808</v>
      </c>
      <c r="F32" s="279">
        <v>4729</v>
      </c>
      <c r="G32" s="279">
        <v>934</v>
      </c>
      <c r="H32" s="279">
        <v>15707</v>
      </c>
      <c r="I32" s="279">
        <v>3982</v>
      </c>
      <c r="J32" s="279">
        <f t="shared" si="0"/>
        <v>21370</v>
      </c>
      <c r="K32" s="470">
        <v>6.5000000000000002E-2</v>
      </c>
      <c r="L32" s="470">
        <v>0.18100000000000002</v>
      </c>
      <c r="M32" s="471">
        <v>0.15</v>
      </c>
      <c r="N32" s="282">
        <f t="shared" si="1"/>
        <v>52.52</v>
      </c>
      <c r="O32" s="283">
        <f t="shared" si="2"/>
        <v>307.38499999999999</v>
      </c>
      <c r="P32" s="283">
        <f t="shared" si="2"/>
        <v>169.05400000000003</v>
      </c>
      <c r="Q32" s="283">
        <f t="shared" si="3"/>
        <v>2842.9670000000006</v>
      </c>
      <c r="R32" s="283">
        <f t="shared" si="4"/>
        <v>3012.0210000000006</v>
      </c>
      <c r="S32" s="283">
        <f t="shared" si="5"/>
        <v>3205.5</v>
      </c>
      <c r="U32" s="498"/>
    </row>
    <row r="33" spans="1:21" ht="24.95" customHeight="1">
      <c r="A33" s="284" t="s">
        <v>80</v>
      </c>
      <c r="B33" s="285" t="s">
        <v>482</v>
      </c>
      <c r="C33" s="286" t="s">
        <v>289</v>
      </c>
      <c r="D33" s="279">
        <v>35727</v>
      </c>
      <c r="E33" s="279">
        <v>1107</v>
      </c>
      <c r="F33" s="279">
        <v>5767</v>
      </c>
      <c r="G33" s="279">
        <v>901</v>
      </c>
      <c r="H33" s="279">
        <v>20831</v>
      </c>
      <c r="I33" s="279">
        <v>7121</v>
      </c>
      <c r="J33" s="279">
        <f t="shared" si="0"/>
        <v>27499</v>
      </c>
      <c r="K33" s="470">
        <v>7.5999999999999998E-2</v>
      </c>
      <c r="L33" s="470">
        <v>0.20300000000000001</v>
      </c>
      <c r="M33" s="471">
        <v>0.17199999999999999</v>
      </c>
      <c r="N33" s="282">
        <f t="shared" si="1"/>
        <v>84.132000000000005</v>
      </c>
      <c r="O33" s="283">
        <f t="shared" si="2"/>
        <v>438.29199999999997</v>
      </c>
      <c r="P33" s="283">
        <f t="shared" si="2"/>
        <v>182.90300000000002</v>
      </c>
      <c r="Q33" s="283">
        <f t="shared" si="3"/>
        <v>4228.6930000000002</v>
      </c>
      <c r="R33" s="283">
        <f t="shared" si="4"/>
        <v>4411.5960000000005</v>
      </c>
      <c r="S33" s="283">
        <f t="shared" si="5"/>
        <v>4729.8279999999995</v>
      </c>
      <c r="U33" s="498"/>
    </row>
    <row r="34" spans="1:21" ht="24.95" customHeight="1">
      <c r="A34" s="284" t="s">
        <v>54</v>
      </c>
      <c r="B34" s="285" t="s">
        <v>14</v>
      </c>
      <c r="C34" s="286" t="s">
        <v>288</v>
      </c>
      <c r="D34" s="279">
        <v>165399</v>
      </c>
      <c r="E34" s="279">
        <v>5302</v>
      </c>
      <c r="F34" s="279">
        <v>30961</v>
      </c>
      <c r="G34" s="279">
        <v>5840</v>
      </c>
      <c r="H34" s="279">
        <v>95081</v>
      </c>
      <c r="I34" s="279">
        <v>28215</v>
      </c>
      <c r="J34" s="279">
        <f t="shared" si="0"/>
        <v>131882</v>
      </c>
      <c r="K34" s="470">
        <v>4.7E-2</v>
      </c>
      <c r="L34" s="470">
        <v>0.19699999999999998</v>
      </c>
      <c r="M34" s="471">
        <v>0.155</v>
      </c>
      <c r="N34" s="282">
        <f t="shared" si="1"/>
        <v>249.19399999999999</v>
      </c>
      <c r="O34" s="283">
        <f t="shared" si="2"/>
        <v>1455.1669999999999</v>
      </c>
      <c r="P34" s="283">
        <f t="shared" si="2"/>
        <v>1150.4799999999998</v>
      </c>
      <c r="Q34" s="283">
        <f t="shared" si="3"/>
        <v>18730.956999999999</v>
      </c>
      <c r="R34" s="283">
        <f t="shared" si="4"/>
        <v>19881.436999999998</v>
      </c>
      <c r="S34" s="283">
        <f t="shared" si="5"/>
        <v>20441.71</v>
      </c>
      <c r="U34" s="498"/>
    </row>
    <row r="35" spans="1:21" ht="24.95" customHeight="1">
      <c r="A35" s="284" t="s">
        <v>65</v>
      </c>
      <c r="B35" s="285" t="s">
        <v>14</v>
      </c>
      <c r="C35" s="286" t="s">
        <v>288</v>
      </c>
      <c r="D35" s="279">
        <v>41474</v>
      </c>
      <c r="E35" s="279">
        <v>1183</v>
      </c>
      <c r="F35" s="279">
        <v>7370</v>
      </c>
      <c r="G35" s="279">
        <v>1489</v>
      </c>
      <c r="H35" s="279">
        <v>23338</v>
      </c>
      <c r="I35" s="279">
        <v>8094</v>
      </c>
      <c r="J35" s="279">
        <f t="shared" si="0"/>
        <v>32197</v>
      </c>
      <c r="K35" s="470">
        <v>7.0000000000000007E-2</v>
      </c>
      <c r="L35" s="470">
        <v>0.17199999999999999</v>
      </c>
      <c r="M35" s="471">
        <v>0.14400000000000002</v>
      </c>
      <c r="N35" s="282">
        <f t="shared" si="1"/>
        <v>82.81</v>
      </c>
      <c r="O35" s="283">
        <f t="shared" si="2"/>
        <v>515.90000000000009</v>
      </c>
      <c r="P35" s="283">
        <f t="shared" si="2"/>
        <v>256.108</v>
      </c>
      <c r="Q35" s="283">
        <f t="shared" si="3"/>
        <v>4014.1359999999995</v>
      </c>
      <c r="R35" s="283">
        <f t="shared" si="4"/>
        <v>4270.2439999999997</v>
      </c>
      <c r="S35" s="283">
        <f t="shared" si="5"/>
        <v>4636.3680000000004</v>
      </c>
      <c r="U35" s="498"/>
    </row>
    <row r="36" spans="1:21" ht="24.95" customHeight="1">
      <c r="A36" s="284" t="s">
        <v>95</v>
      </c>
      <c r="B36" s="285" t="s">
        <v>18</v>
      </c>
      <c r="C36" s="286" t="s">
        <v>289</v>
      </c>
      <c r="D36" s="279">
        <v>60763</v>
      </c>
      <c r="E36" s="279">
        <v>2254</v>
      </c>
      <c r="F36" s="279">
        <v>12409</v>
      </c>
      <c r="G36" s="279">
        <v>2440</v>
      </c>
      <c r="H36" s="279">
        <v>33410</v>
      </c>
      <c r="I36" s="279">
        <v>10250</v>
      </c>
      <c r="J36" s="279">
        <f t="shared" si="0"/>
        <v>48259</v>
      </c>
      <c r="K36" s="470">
        <v>8.5000000000000006E-2</v>
      </c>
      <c r="L36" s="470">
        <v>0.29299999999999998</v>
      </c>
      <c r="M36" s="471">
        <v>0.23199999999999998</v>
      </c>
      <c r="N36" s="282">
        <f t="shared" si="1"/>
        <v>191.59</v>
      </c>
      <c r="O36" s="283">
        <f t="shared" si="2"/>
        <v>1054.7650000000001</v>
      </c>
      <c r="P36" s="283">
        <f t="shared" si="2"/>
        <v>714.92</v>
      </c>
      <c r="Q36" s="283">
        <f t="shared" si="3"/>
        <v>9789.1299999999992</v>
      </c>
      <c r="R36" s="283">
        <f t="shared" si="4"/>
        <v>10504.05</v>
      </c>
      <c r="S36" s="283">
        <f t="shared" si="5"/>
        <v>11196.088</v>
      </c>
      <c r="U36" s="498"/>
    </row>
    <row r="37" spans="1:21" ht="24.95" customHeight="1">
      <c r="A37" s="284" t="s">
        <v>47</v>
      </c>
      <c r="B37" s="285" t="s">
        <v>13</v>
      </c>
      <c r="C37" s="286" t="s">
        <v>288</v>
      </c>
      <c r="D37" s="279">
        <v>303416</v>
      </c>
      <c r="E37" s="279">
        <v>13005</v>
      </c>
      <c r="F37" s="279">
        <v>57593</v>
      </c>
      <c r="G37" s="279">
        <v>14181</v>
      </c>
      <c r="H37" s="279">
        <v>183145</v>
      </c>
      <c r="I37" s="279">
        <v>35492</v>
      </c>
      <c r="J37" s="279">
        <f t="shared" si="0"/>
        <v>254919</v>
      </c>
      <c r="K37" s="470">
        <v>4.9000000000000002E-2</v>
      </c>
      <c r="L37" s="470">
        <v>0.18600000000000003</v>
      </c>
      <c r="M37" s="471">
        <v>0.151</v>
      </c>
      <c r="N37" s="282">
        <f t="shared" si="1"/>
        <v>637.245</v>
      </c>
      <c r="O37" s="283">
        <f t="shared" si="2"/>
        <v>2822.0570000000002</v>
      </c>
      <c r="P37" s="283">
        <f t="shared" si="2"/>
        <v>2637.6660000000002</v>
      </c>
      <c r="Q37" s="283">
        <f t="shared" si="3"/>
        <v>34064.970000000008</v>
      </c>
      <c r="R37" s="283">
        <f t="shared" si="4"/>
        <v>36702.636000000006</v>
      </c>
      <c r="S37" s="283">
        <f t="shared" si="5"/>
        <v>38492.769</v>
      </c>
      <c r="U37" s="498"/>
    </row>
    <row r="38" spans="1:21" ht="24.95" customHeight="1">
      <c r="A38" s="284" t="s">
        <v>96</v>
      </c>
      <c r="B38" s="285" t="s">
        <v>18</v>
      </c>
      <c r="C38" s="286" t="s">
        <v>288</v>
      </c>
      <c r="D38" s="279">
        <v>55303</v>
      </c>
      <c r="E38" s="279">
        <v>1793</v>
      </c>
      <c r="F38" s="279">
        <v>10895</v>
      </c>
      <c r="G38" s="279">
        <v>2105</v>
      </c>
      <c r="H38" s="279">
        <v>30716</v>
      </c>
      <c r="I38" s="279">
        <v>9794</v>
      </c>
      <c r="J38" s="279">
        <f t="shared" si="0"/>
        <v>43716</v>
      </c>
      <c r="K38" s="470">
        <v>3.9E-2</v>
      </c>
      <c r="L38" s="470">
        <v>0.187</v>
      </c>
      <c r="M38" s="471">
        <v>0.14499999999999999</v>
      </c>
      <c r="N38" s="282">
        <f t="shared" si="1"/>
        <v>69.927000000000007</v>
      </c>
      <c r="O38" s="283">
        <f t="shared" si="2"/>
        <v>424.90499999999997</v>
      </c>
      <c r="P38" s="283">
        <f t="shared" si="2"/>
        <v>393.63499999999999</v>
      </c>
      <c r="Q38" s="283">
        <f t="shared" si="3"/>
        <v>5743.8919999999998</v>
      </c>
      <c r="R38" s="283">
        <f t="shared" si="4"/>
        <v>6137.527</v>
      </c>
      <c r="S38" s="283">
        <f t="shared" si="5"/>
        <v>6338.82</v>
      </c>
      <c r="U38" s="498"/>
    </row>
    <row r="39" spans="1:21" ht="24.95" customHeight="1">
      <c r="A39" s="284" t="s">
        <v>66</v>
      </c>
      <c r="B39" s="285" t="s">
        <v>14</v>
      </c>
      <c r="C39" s="286" t="s">
        <v>288</v>
      </c>
      <c r="D39" s="279">
        <v>371646</v>
      </c>
      <c r="E39" s="279">
        <v>13579</v>
      </c>
      <c r="F39" s="279">
        <v>73737</v>
      </c>
      <c r="G39" s="279">
        <v>15578</v>
      </c>
      <c r="H39" s="279">
        <v>213147</v>
      </c>
      <c r="I39" s="279">
        <v>55605</v>
      </c>
      <c r="J39" s="279">
        <f t="shared" si="0"/>
        <v>302462</v>
      </c>
      <c r="K39" s="470">
        <v>4.7E-2</v>
      </c>
      <c r="L39" s="470">
        <v>0.19600000000000001</v>
      </c>
      <c r="M39" s="471">
        <v>0.153</v>
      </c>
      <c r="N39" s="282">
        <f t="shared" si="1"/>
        <v>638.21299999999997</v>
      </c>
      <c r="O39" s="283">
        <f t="shared" si="2"/>
        <v>3465.6390000000001</v>
      </c>
      <c r="P39" s="283">
        <f t="shared" si="2"/>
        <v>3053.288</v>
      </c>
      <c r="Q39" s="283">
        <f t="shared" si="3"/>
        <v>41776.811999999998</v>
      </c>
      <c r="R39" s="283">
        <f t="shared" si="4"/>
        <v>44830.1</v>
      </c>
      <c r="S39" s="283">
        <f t="shared" si="5"/>
        <v>46276.686000000002</v>
      </c>
      <c r="U39" s="498"/>
    </row>
    <row r="40" spans="1:21" ht="24.95" customHeight="1">
      <c r="A40" s="284" t="s">
        <v>55</v>
      </c>
      <c r="B40" s="285" t="s">
        <v>14</v>
      </c>
      <c r="C40" s="286" t="s">
        <v>288</v>
      </c>
      <c r="D40" s="279">
        <v>64436</v>
      </c>
      <c r="E40" s="279">
        <v>2037</v>
      </c>
      <c r="F40" s="279">
        <v>12349</v>
      </c>
      <c r="G40" s="279">
        <v>2510</v>
      </c>
      <c r="H40" s="279">
        <v>37298</v>
      </c>
      <c r="I40" s="279">
        <v>10242</v>
      </c>
      <c r="J40" s="279">
        <f t="shared" si="0"/>
        <v>52157</v>
      </c>
      <c r="K40" s="470">
        <v>6.4000000000000001E-2</v>
      </c>
      <c r="L40" s="470">
        <v>0.21899999999999997</v>
      </c>
      <c r="M40" s="471">
        <v>0.17499999999999999</v>
      </c>
      <c r="N40" s="282">
        <f t="shared" si="1"/>
        <v>130.36799999999999</v>
      </c>
      <c r="O40" s="283">
        <f t="shared" si="2"/>
        <v>790.33600000000001</v>
      </c>
      <c r="P40" s="283">
        <f t="shared" si="2"/>
        <v>549.68999999999994</v>
      </c>
      <c r="Q40" s="283">
        <f t="shared" si="3"/>
        <v>8168.2619999999988</v>
      </c>
      <c r="R40" s="283">
        <f t="shared" si="4"/>
        <v>8717.9519999999993</v>
      </c>
      <c r="S40" s="283">
        <f t="shared" si="5"/>
        <v>9127.4749999999985</v>
      </c>
      <c r="U40" s="498"/>
    </row>
    <row r="41" spans="1:21" ht="24.95" customHeight="1">
      <c r="A41" s="284" t="s">
        <v>109</v>
      </c>
      <c r="B41" s="285" t="s">
        <v>20</v>
      </c>
      <c r="C41" s="286" t="s">
        <v>288</v>
      </c>
      <c r="D41" s="279">
        <v>213325</v>
      </c>
      <c r="E41" s="279">
        <v>7373</v>
      </c>
      <c r="F41" s="279">
        <v>41293</v>
      </c>
      <c r="G41" s="279">
        <v>8262</v>
      </c>
      <c r="H41" s="279">
        <v>123427</v>
      </c>
      <c r="I41" s="279">
        <v>32970</v>
      </c>
      <c r="J41" s="279">
        <f t="shared" si="0"/>
        <v>172982</v>
      </c>
      <c r="K41" s="470">
        <v>5.2000000000000005E-2</v>
      </c>
      <c r="L41" s="470">
        <v>0.19800000000000001</v>
      </c>
      <c r="M41" s="471">
        <v>0.158</v>
      </c>
      <c r="N41" s="282">
        <f t="shared" si="1"/>
        <v>383.39600000000002</v>
      </c>
      <c r="O41" s="283">
        <f t="shared" si="2"/>
        <v>2147.2360000000003</v>
      </c>
      <c r="P41" s="283">
        <f t="shared" si="2"/>
        <v>1635.876</v>
      </c>
      <c r="Q41" s="283">
        <f t="shared" si="3"/>
        <v>24438.546000000002</v>
      </c>
      <c r="R41" s="283">
        <f t="shared" si="4"/>
        <v>26074.422000000002</v>
      </c>
      <c r="S41" s="283">
        <f t="shared" si="5"/>
        <v>27331.155999999999</v>
      </c>
      <c r="U41" s="498"/>
    </row>
    <row r="42" spans="1:21" ht="24.95" customHeight="1">
      <c r="A42" s="284" t="s">
        <v>81</v>
      </c>
      <c r="B42" s="285" t="s">
        <v>482</v>
      </c>
      <c r="C42" s="286" t="s">
        <v>288</v>
      </c>
      <c r="D42" s="279">
        <v>11914</v>
      </c>
      <c r="E42" s="279">
        <v>326</v>
      </c>
      <c r="F42" s="279">
        <v>2039</v>
      </c>
      <c r="G42" s="279">
        <v>456</v>
      </c>
      <c r="H42" s="279">
        <v>6925</v>
      </c>
      <c r="I42" s="279">
        <v>2168</v>
      </c>
      <c r="J42" s="279">
        <f t="shared" si="0"/>
        <v>9420</v>
      </c>
      <c r="K42" s="470">
        <v>6.2E-2</v>
      </c>
      <c r="L42" s="470">
        <v>0.17199999999999999</v>
      </c>
      <c r="M42" s="471">
        <v>0.14300000000000002</v>
      </c>
      <c r="N42" s="282">
        <f t="shared" si="1"/>
        <v>20.212</v>
      </c>
      <c r="O42" s="283">
        <f t="shared" si="2"/>
        <v>126.41799999999999</v>
      </c>
      <c r="P42" s="283">
        <f t="shared" si="2"/>
        <v>78.431999999999988</v>
      </c>
      <c r="Q42" s="283">
        <f t="shared" si="3"/>
        <v>1191.0999999999999</v>
      </c>
      <c r="R42" s="283">
        <f t="shared" si="4"/>
        <v>1269.5319999999999</v>
      </c>
      <c r="S42" s="283">
        <f t="shared" si="5"/>
        <v>1347.0600000000002</v>
      </c>
      <c r="U42" s="498"/>
    </row>
    <row r="43" spans="1:21" ht="24.95" customHeight="1">
      <c r="A43" s="284" t="s">
        <v>131</v>
      </c>
      <c r="B43" s="285" t="s">
        <v>555</v>
      </c>
      <c r="C43" s="286" t="s">
        <v>289</v>
      </c>
      <c r="D43" s="279">
        <v>8969</v>
      </c>
      <c r="E43" s="279">
        <v>279</v>
      </c>
      <c r="F43" s="279">
        <v>1601</v>
      </c>
      <c r="G43" s="279">
        <v>316</v>
      </c>
      <c r="H43" s="279">
        <v>4700</v>
      </c>
      <c r="I43" s="279">
        <v>2073</v>
      </c>
      <c r="J43" s="279">
        <f t="shared" si="0"/>
        <v>6617</v>
      </c>
      <c r="K43" s="470">
        <v>7.2000000000000008E-2</v>
      </c>
      <c r="L43" s="470">
        <v>0.23399999999999999</v>
      </c>
      <c r="M43" s="471">
        <v>0.19</v>
      </c>
      <c r="N43" s="282">
        <f t="shared" si="1"/>
        <v>20.088000000000001</v>
      </c>
      <c r="O43" s="283">
        <f t="shared" si="2"/>
        <v>115.27200000000002</v>
      </c>
      <c r="P43" s="283">
        <f t="shared" si="2"/>
        <v>73.943999999999988</v>
      </c>
      <c r="Q43" s="283">
        <f t="shared" si="3"/>
        <v>1099.8</v>
      </c>
      <c r="R43" s="283">
        <f t="shared" si="4"/>
        <v>1173.7439999999999</v>
      </c>
      <c r="S43" s="283">
        <f t="shared" si="5"/>
        <v>1257.23</v>
      </c>
      <c r="U43" s="498"/>
    </row>
    <row r="44" spans="1:21" ht="24.95" customHeight="1">
      <c r="A44" s="284" t="s">
        <v>56</v>
      </c>
      <c r="B44" s="285" t="s">
        <v>14</v>
      </c>
      <c r="C44" s="286" t="s">
        <v>289</v>
      </c>
      <c r="D44" s="279">
        <v>58471</v>
      </c>
      <c r="E44" s="279">
        <v>1633</v>
      </c>
      <c r="F44" s="279">
        <v>10097</v>
      </c>
      <c r="G44" s="279">
        <v>2551</v>
      </c>
      <c r="H44" s="279">
        <v>34948</v>
      </c>
      <c r="I44" s="279">
        <v>9242</v>
      </c>
      <c r="J44" s="279">
        <f t="shared" si="0"/>
        <v>47596</v>
      </c>
      <c r="K44" s="470">
        <v>5.7999999999999996E-2</v>
      </c>
      <c r="L44" s="470">
        <v>0.17800000000000002</v>
      </c>
      <c r="M44" s="471">
        <v>0.14599999999999999</v>
      </c>
      <c r="N44" s="282">
        <f t="shared" si="1"/>
        <v>94.713999999999999</v>
      </c>
      <c r="O44" s="283">
        <f t="shared" si="2"/>
        <v>585.62599999999998</v>
      </c>
      <c r="P44" s="283">
        <f t="shared" si="2"/>
        <v>454.07800000000003</v>
      </c>
      <c r="Q44" s="283">
        <f t="shared" si="3"/>
        <v>6220.7440000000006</v>
      </c>
      <c r="R44" s="283">
        <f t="shared" si="4"/>
        <v>6674.822000000001</v>
      </c>
      <c r="S44" s="283">
        <f t="shared" si="5"/>
        <v>6949.0159999999996</v>
      </c>
      <c r="U44" s="498"/>
    </row>
    <row r="45" spans="1:21" ht="24.95" customHeight="1">
      <c r="A45" s="284" t="s">
        <v>97</v>
      </c>
      <c r="B45" s="285" t="s">
        <v>18</v>
      </c>
      <c r="C45" s="286" t="s">
        <v>289</v>
      </c>
      <c r="D45" s="279">
        <v>21310</v>
      </c>
      <c r="E45" s="279">
        <v>637</v>
      </c>
      <c r="F45" s="279">
        <v>3997</v>
      </c>
      <c r="G45" s="279">
        <v>746</v>
      </c>
      <c r="H45" s="279">
        <v>12703</v>
      </c>
      <c r="I45" s="279">
        <v>3227</v>
      </c>
      <c r="J45" s="279">
        <f t="shared" si="0"/>
        <v>17446</v>
      </c>
      <c r="K45" s="470">
        <v>7.6999999999999999E-2</v>
      </c>
      <c r="L45" s="470">
        <v>0.251</v>
      </c>
      <c r="M45" s="471">
        <v>0.20100000000000001</v>
      </c>
      <c r="N45" s="282">
        <f t="shared" si="1"/>
        <v>49.048999999999999</v>
      </c>
      <c r="O45" s="283">
        <f t="shared" si="2"/>
        <v>307.76900000000001</v>
      </c>
      <c r="P45" s="283">
        <f t="shared" si="2"/>
        <v>187.24600000000001</v>
      </c>
      <c r="Q45" s="283">
        <f t="shared" si="3"/>
        <v>3188.453</v>
      </c>
      <c r="R45" s="283">
        <f t="shared" si="4"/>
        <v>3375.6990000000001</v>
      </c>
      <c r="S45" s="283">
        <f t="shared" si="5"/>
        <v>3506.6460000000002</v>
      </c>
      <c r="U45" s="498"/>
    </row>
    <row r="46" spans="1:21" ht="24.95" customHeight="1">
      <c r="A46" s="284" t="s">
        <v>115</v>
      </c>
      <c r="B46" s="285" t="s">
        <v>21</v>
      </c>
      <c r="C46" s="286" t="s">
        <v>288</v>
      </c>
      <c r="D46" s="279">
        <v>520398</v>
      </c>
      <c r="E46" s="279">
        <v>17863</v>
      </c>
      <c r="F46" s="279">
        <v>97307</v>
      </c>
      <c r="G46" s="279">
        <v>26867</v>
      </c>
      <c r="H46" s="279">
        <v>303029</v>
      </c>
      <c r="I46" s="279">
        <v>75332</v>
      </c>
      <c r="J46" s="279">
        <f t="shared" si="0"/>
        <v>427203</v>
      </c>
      <c r="K46" s="470">
        <v>5.5999999999999994E-2</v>
      </c>
      <c r="L46" s="470">
        <v>0.183</v>
      </c>
      <c r="M46" s="471">
        <v>0.14800000000000002</v>
      </c>
      <c r="N46" s="282">
        <f t="shared" si="1"/>
        <v>1000.3279999999999</v>
      </c>
      <c r="O46" s="283">
        <f t="shared" si="2"/>
        <v>5449.1919999999991</v>
      </c>
      <c r="P46" s="283">
        <f t="shared" si="2"/>
        <v>4916.6610000000001</v>
      </c>
      <c r="Q46" s="283">
        <f t="shared" si="3"/>
        <v>55454.307000000001</v>
      </c>
      <c r="R46" s="283">
        <f t="shared" si="4"/>
        <v>60370.968000000001</v>
      </c>
      <c r="S46" s="283">
        <f t="shared" si="5"/>
        <v>63226.044000000009</v>
      </c>
      <c r="U46" s="498"/>
    </row>
    <row r="47" spans="1:21" ht="24.95" customHeight="1">
      <c r="A47" s="284" t="s">
        <v>57</v>
      </c>
      <c r="B47" s="285" t="s">
        <v>14</v>
      </c>
      <c r="C47" s="286" t="s">
        <v>289</v>
      </c>
      <c r="D47" s="279">
        <v>52567</v>
      </c>
      <c r="E47" s="279">
        <v>1685</v>
      </c>
      <c r="F47" s="279">
        <v>9636</v>
      </c>
      <c r="G47" s="279">
        <v>1760</v>
      </c>
      <c r="H47" s="279">
        <v>29469</v>
      </c>
      <c r="I47" s="279">
        <v>10017</v>
      </c>
      <c r="J47" s="279">
        <f t="shared" si="0"/>
        <v>40865</v>
      </c>
      <c r="K47" s="470">
        <v>0.05</v>
      </c>
      <c r="L47" s="470">
        <v>0.19399999999999998</v>
      </c>
      <c r="M47" s="471">
        <v>0.155</v>
      </c>
      <c r="N47" s="282">
        <f t="shared" si="1"/>
        <v>84.25</v>
      </c>
      <c r="O47" s="283">
        <f t="shared" si="2"/>
        <v>481.8</v>
      </c>
      <c r="P47" s="283">
        <f t="shared" si="2"/>
        <v>341.43999999999994</v>
      </c>
      <c r="Q47" s="283">
        <f t="shared" si="3"/>
        <v>5716.985999999999</v>
      </c>
      <c r="R47" s="283">
        <f t="shared" si="4"/>
        <v>6058.4259999999986</v>
      </c>
      <c r="S47" s="283">
        <f t="shared" si="5"/>
        <v>6334.0749999999998</v>
      </c>
      <c r="U47" s="498"/>
    </row>
    <row r="48" spans="1:21" ht="24.95" customHeight="1">
      <c r="A48" s="284" t="s">
        <v>116</v>
      </c>
      <c r="B48" s="285" t="s">
        <v>21</v>
      </c>
      <c r="C48" s="286" t="s">
        <v>289</v>
      </c>
      <c r="D48" s="279">
        <v>130243</v>
      </c>
      <c r="E48" s="279">
        <v>5649</v>
      </c>
      <c r="F48" s="279">
        <v>29899</v>
      </c>
      <c r="G48" s="279">
        <v>5928</v>
      </c>
      <c r="H48" s="279">
        <v>72931</v>
      </c>
      <c r="I48" s="279">
        <v>15836</v>
      </c>
      <c r="J48" s="279">
        <f t="shared" si="0"/>
        <v>108758</v>
      </c>
      <c r="K48" s="470">
        <v>5.2000000000000005E-2</v>
      </c>
      <c r="L48" s="470">
        <v>0.20300000000000001</v>
      </c>
      <c r="M48" s="471">
        <v>0.155</v>
      </c>
      <c r="N48" s="282">
        <f t="shared" si="1"/>
        <v>293.74800000000005</v>
      </c>
      <c r="O48" s="283">
        <f t="shared" si="2"/>
        <v>1554.748</v>
      </c>
      <c r="P48" s="283">
        <f t="shared" si="2"/>
        <v>1203.384</v>
      </c>
      <c r="Q48" s="283">
        <f t="shared" si="3"/>
        <v>14804.993</v>
      </c>
      <c r="R48" s="283">
        <f t="shared" si="4"/>
        <v>16008.377</v>
      </c>
      <c r="S48" s="283">
        <f t="shared" si="5"/>
        <v>16857.490000000002</v>
      </c>
      <c r="U48" s="498"/>
    </row>
    <row r="49" spans="1:21" ht="24.95" customHeight="1">
      <c r="A49" s="284" t="s">
        <v>132</v>
      </c>
      <c r="B49" s="285" t="s">
        <v>555</v>
      </c>
      <c r="C49" s="286" t="s">
        <v>288</v>
      </c>
      <c r="D49" s="279">
        <v>60436</v>
      </c>
      <c r="E49" s="279">
        <v>1694</v>
      </c>
      <c r="F49" s="279">
        <v>9359</v>
      </c>
      <c r="G49" s="279">
        <v>1882</v>
      </c>
      <c r="H49" s="279">
        <v>32659</v>
      </c>
      <c r="I49" s="279">
        <v>14842</v>
      </c>
      <c r="J49" s="279">
        <f t="shared" si="0"/>
        <v>43900</v>
      </c>
      <c r="K49" s="470">
        <v>5.5E-2</v>
      </c>
      <c r="L49" s="470">
        <v>0.184</v>
      </c>
      <c r="M49" s="471">
        <v>0.153</v>
      </c>
      <c r="N49" s="282">
        <f t="shared" si="1"/>
        <v>93.17</v>
      </c>
      <c r="O49" s="283">
        <f t="shared" si="2"/>
        <v>514.745</v>
      </c>
      <c r="P49" s="283">
        <f t="shared" si="2"/>
        <v>346.28800000000001</v>
      </c>
      <c r="Q49" s="283">
        <f t="shared" si="3"/>
        <v>6009.2560000000003</v>
      </c>
      <c r="R49" s="283">
        <f t="shared" si="4"/>
        <v>6355.5439999999999</v>
      </c>
      <c r="S49" s="283">
        <f t="shared" si="5"/>
        <v>6716.7</v>
      </c>
      <c r="U49" s="498"/>
    </row>
    <row r="50" spans="1:21" ht="24.95" customHeight="1">
      <c r="A50" s="284" t="s">
        <v>133</v>
      </c>
      <c r="B50" s="285" t="s">
        <v>555</v>
      </c>
      <c r="C50" s="286" t="s">
        <v>288</v>
      </c>
      <c r="D50" s="279">
        <v>113314</v>
      </c>
      <c r="E50" s="279">
        <v>3288</v>
      </c>
      <c r="F50" s="279">
        <v>18744</v>
      </c>
      <c r="G50" s="279">
        <v>3295</v>
      </c>
      <c r="H50" s="279">
        <v>58964</v>
      </c>
      <c r="I50" s="279">
        <v>29023</v>
      </c>
      <c r="J50" s="279">
        <f t="shared" si="0"/>
        <v>81003</v>
      </c>
      <c r="K50" s="470">
        <v>6.4000000000000001E-2</v>
      </c>
      <c r="L50" s="470">
        <v>0.20899999999999999</v>
      </c>
      <c r="M50" s="471">
        <v>0.17100000000000001</v>
      </c>
      <c r="N50" s="282">
        <f t="shared" si="1"/>
        <v>210.43200000000002</v>
      </c>
      <c r="O50" s="283">
        <f t="shared" si="2"/>
        <v>1199.616</v>
      </c>
      <c r="P50" s="283">
        <f t="shared" si="2"/>
        <v>688.65499999999997</v>
      </c>
      <c r="Q50" s="283">
        <f t="shared" si="3"/>
        <v>12323.475999999999</v>
      </c>
      <c r="R50" s="283">
        <f t="shared" si="4"/>
        <v>13012.130999999999</v>
      </c>
      <c r="S50" s="283">
        <f t="shared" si="5"/>
        <v>13851.513000000001</v>
      </c>
      <c r="U50" s="498"/>
    </row>
    <row r="51" spans="1:21" ht="24.95" customHeight="1">
      <c r="A51" s="284" t="s">
        <v>82</v>
      </c>
      <c r="B51" s="285" t="s">
        <v>482</v>
      </c>
      <c r="C51" s="286" t="s">
        <v>289</v>
      </c>
      <c r="D51" s="279">
        <v>24423</v>
      </c>
      <c r="E51" s="279">
        <v>672</v>
      </c>
      <c r="F51" s="279">
        <v>4142</v>
      </c>
      <c r="G51" s="279">
        <v>1237</v>
      </c>
      <c r="H51" s="279">
        <v>13931</v>
      </c>
      <c r="I51" s="279">
        <v>4441</v>
      </c>
      <c r="J51" s="279">
        <f t="shared" si="0"/>
        <v>19310</v>
      </c>
      <c r="K51" s="470">
        <v>5.0999999999999997E-2</v>
      </c>
      <c r="L51" s="470">
        <v>0.19399999999999998</v>
      </c>
      <c r="M51" s="471">
        <v>0.156</v>
      </c>
      <c r="N51" s="282">
        <f t="shared" si="1"/>
        <v>34.271999999999998</v>
      </c>
      <c r="O51" s="283">
        <f t="shared" si="2"/>
        <v>211.24199999999999</v>
      </c>
      <c r="P51" s="283">
        <f t="shared" si="2"/>
        <v>239.97799999999998</v>
      </c>
      <c r="Q51" s="283">
        <f t="shared" si="3"/>
        <v>2702.6139999999996</v>
      </c>
      <c r="R51" s="283">
        <f t="shared" si="4"/>
        <v>2942.5919999999996</v>
      </c>
      <c r="S51" s="283">
        <f t="shared" si="5"/>
        <v>3012.36</v>
      </c>
      <c r="U51" s="498"/>
    </row>
    <row r="52" spans="1:21" ht="24.95" customHeight="1">
      <c r="A52" s="284" t="s">
        <v>117</v>
      </c>
      <c r="B52" s="285" t="s">
        <v>21</v>
      </c>
      <c r="C52" s="286" t="s">
        <v>288</v>
      </c>
      <c r="D52" s="279">
        <v>52400</v>
      </c>
      <c r="E52" s="279">
        <v>2719</v>
      </c>
      <c r="F52" s="279">
        <v>13514</v>
      </c>
      <c r="G52" s="279">
        <v>2112</v>
      </c>
      <c r="H52" s="279">
        <v>29339</v>
      </c>
      <c r="I52" s="279">
        <v>4716</v>
      </c>
      <c r="J52" s="279">
        <f t="shared" si="0"/>
        <v>44965</v>
      </c>
      <c r="K52" s="470">
        <v>6.3E-2</v>
      </c>
      <c r="L52" s="470">
        <v>0.21899999999999997</v>
      </c>
      <c r="M52" s="471">
        <v>0.17</v>
      </c>
      <c r="N52" s="282">
        <f t="shared" si="1"/>
        <v>171.297</v>
      </c>
      <c r="O52" s="283">
        <f t="shared" si="2"/>
        <v>851.38200000000006</v>
      </c>
      <c r="P52" s="283">
        <f t="shared" si="2"/>
        <v>462.52799999999996</v>
      </c>
      <c r="Q52" s="283">
        <f t="shared" si="3"/>
        <v>6425.2409999999991</v>
      </c>
      <c r="R52" s="283">
        <f t="shared" si="4"/>
        <v>6887.7689999999993</v>
      </c>
      <c r="S52" s="283">
        <f t="shared" si="5"/>
        <v>7644.05</v>
      </c>
      <c r="U52" s="498"/>
    </row>
    <row r="53" spans="1:21" ht="24.95" customHeight="1">
      <c r="A53" s="284" t="s">
        <v>83</v>
      </c>
      <c r="B53" s="285" t="s">
        <v>482</v>
      </c>
      <c r="C53" s="286" t="s">
        <v>289</v>
      </c>
      <c r="D53" s="279">
        <v>5720</v>
      </c>
      <c r="E53" s="279">
        <v>136</v>
      </c>
      <c r="F53" s="279">
        <v>841</v>
      </c>
      <c r="G53" s="279">
        <v>188</v>
      </c>
      <c r="H53" s="279">
        <v>3506</v>
      </c>
      <c r="I53" s="279">
        <v>1049</v>
      </c>
      <c r="J53" s="279">
        <f t="shared" si="0"/>
        <v>4535</v>
      </c>
      <c r="K53" s="470">
        <v>8.8000000000000009E-2</v>
      </c>
      <c r="L53" s="470">
        <v>0.20399999999999999</v>
      </c>
      <c r="M53" s="471">
        <v>0.17399999999999999</v>
      </c>
      <c r="N53" s="282">
        <f t="shared" si="1"/>
        <v>11.968000000000002</v>
      </c>
      <c r="O53" s="283">
        <f t="shared" si="2"/>
        <v>74.00800000000001</v>
      </c>
      <c r="P53" s="283">
        <f t="shared" si="2"/>
        <v>38.351999999999997</v>
      </c>
      <c r="Q53" s="283">
        <f t="shared" si="3"/>
        <v>715.22399999999993</v>
      </c>
      <c r="R53" s="283">
        <f t="shared" si="4"/>
        <v>753.57599999999991</v>
      </c>
      <c r="S53" s="283">
        <f t="shared" si="5"/>
        <v>789.08999999999992</v>
      </c>
      <c r="U53" s="498"/>
    </row>
    <row r="54" spans="1:21" ht="24.95" customHeight="1">
      <c r="A54" s="284" t="s">
        <v>110</v>
      </c>
      <c r="B54" s="285" t="s">
        <v>20</v>
      </c>
      <c r="C54" s="286" t="s">
        <v>288</v>
      </c>
      <c r="D54" s="279">
        <v>171400</v>
      </c>
      <c r="E54" s="279">
        <v>5467</v>
      </c>
      <c r="F54" s="279">
        <v>33440</v>
      </c>
      <c r="G54" s="279">
        <v>6827</v>
      </c>
      <c r="H54" s="279">
        <v>99775</v>
      </c>
      <c r="I54" s="279">
        <v>25891</v>
      </c>
      <c r="J54" s="279">
        <f t="shared" si="0"/>
        <v>140042</v>
      </c>
      <c r="K54" s="470">
        <v>5.9000000000000004E-2</v>
      </c>
      <c r="L54" s="470">
        <v>0.182</v>
      </c>
      <c r="M54" s="471">
        <v>0.14699999999999999</v>
      </c>
      <c r="N54" s="282">
        <f t="shared" si="1"/>
        <v>322.553</v>
      </c>
      <c r="O54" s="283">
        <f t="shared" si="2"/>
        <v>1972.96</v>
      </c>
      <c r="P54" s="283">
        <f t="shared" si="2"/>
        <v>1242.5139999999999</v>
      </c>
      <c r="Q54" s="283">
        <f t="shared" si="3"/>
        <v>18159.05</v>
      </c>
      <c r="R54" s="283">
        <f t="shared" si="4"/>
        <v>19401.563999999998</v>
      </c>
      <c r="S54" s="283">
        <f t="shared" si="5"/>
        <v>20586.173999999999</v>
      </c>
      <c r="U54" s="498"/>
    </row>
    <row r="55" spans="1:21" ht="24.95" customHeight="1">
      <c r="A55" s="284" t="s">
        <v>134</v>
      </c>
      <c r="B55" s="285" t="s">
        <v>555</v>
      </c>
      <c r="C55" s="286" t="s">
        <v>289</v>
      </c>
      <c r="D55" s="279">
        <v>41516</v>
      </c>
      <c r="E55" s="279">
        <v>1153</v>
      </c>
      <c r="F55" s="279">
        <v>6147</v>
      </c>
      <c r="G55" s="279">
        <v>3891</v>
      </c>
      <c r="H55" s="279">
        <v>22534</v>
      </c>
      <c r="I55" s="279">
        <v>7791</v>
      </c>
      <c r="J55" s="279">
        <f t="shared" si="0"/>
        <v>32572</v>
      </c>
      <c r="K55" s="470">
        <v>8.1000000000000003E-2</v>
      </c>
      <c r="L55" s="470">
        <v>0.23899999999999999</v>
      </c>
      <c r="M55" s="471">
        <v>0.20199999999999999</v>
      </c>
      <c r="N55" s="282">
        <f t="shared" si="1"/>
        <v>93.393000000000001</v>
      </c>
      <c r="O55" s="283">
        <f t="shared" si="2"/>
        <v>497.90700000000004</v>
      </c>
      <c r="P55" s="283">
        <f t="shared" si="2"/>
        <v>929.94899999999996</v>
      </c>
      <c r="Q55" s="283">
        <f t="shared" si="3"/>
        <v>5385.6260000000002</v>
      </c>
      <c r="R55" s="283">
        <f t="shared" si="4"/>
        <v>6315.5749999999998</v>
      </c>
      <c r="S55" s="283">
        <f t="shared" si="5"/>
        <v>6579.5439999999999</v>
      </c>
      <c r="U55" s="498"/>
    </row>
    <row r="56" spans="1:21" ht="24.95" customHeight="1">
      <c r="A56" s="284" t="s">
        <v>48</v>
      </c>
      <c r="B56" s="285" t="s">
        <v>13</v>
      </c>
      <c r="C56" s="286" t="s">
        <v>288</v>
      </c>
      <c r="D56" s="279">
        <v>186764</v>
      </c>
      <c r="E56" s="279">
        <v>6930</v>
      </c>
      <c r="F56" s="279">
        <v>41058</v>
      </c>
      <c r="G56" s="279">
        <v>7294</v>
      </c>
      <c r="H56" s="279">
        <v>107759</v>
      </c>
      <c r="I56" s="279">
        <v>23723</v>
      </c>
      <c r="J56" s="279">
        <f t="shared" si="0"/>
        <v>156111</v>
      </c>
      <c r="K56" s="470">
        <v>6.3E-2</v>
      </c>
      <c r="L56" s="470">
        <v>0.20300000000000001</v>
      </c>
      <c r="M56" s="471">
        <v>0.16</v>
      </c>
      <c r="N56" s="282">
        <f t="shared" si="1"/>
        <v>436.59</v>
      </c>
      <c r="O56" s="283">
        <f t="shared" si="2"/>
        <v>2586.654</v>
      </c>
      <c r="P56" s="283">
        <f t="shared" si="2"/>
        <v>1480.682</v>
      </c>
      <c r="Q56" s="283">
        <f t="shared" si="3"/>
        <v>21875.077000000001</v>
      </c>
      <c r="R56" s="283">
        <f t="shared" si="4"/>
        <v>23355.759000000002</v>
      </c>
      <c r="S56" s="283">
        <f t="shared" si="5"/>
        <v>24977.760000000002</v>
      </c>
      <c r="U56" s="498"/>
    </row>
    <row r="57" spans="1:21" ht="24.95" customHeight="1">
      <c r="A57" s="284" t="s">
        <v>84</v>
      </c>
      <c r="B57" s="285" t="s">
        <v>482</v>
      </c>
      <c r="C57" s="286" t="s">
        <v>288</v>
      </c>
      <c r="D57" s="279">
        <v>10518</v>
      </c>
      <c r="E57" s="279">
        <v>326</v>
      </c>
      <c r="F57" s="279">
        <v>1789</v>
      </c>
      <c r="G57" s="279">
        <v>309</v>
      </c>
      <c r="H57" s="279">
        <v>6024</v>
      </c>
      <c r="I57" s="279">
        <v>2070</v>
      </c>
      <c r="J57" s="279">
        <f t="shared" si="0"/>
        <v>8122</v>
      </c>
      <c r="K57" s="470">
        <v>7.400000000000001E-2</v>
      </c>
      <c r="L57" s="470">
        <v>0.20199999999999999</v>
      </c>
      <c r="M57" s="471">
        <v>0.17</v>
      </c>
      <c r="N57" s="282">
        <f t="shared" si="1"/>
        <v>24.124000000000002</v>
      </c>
      <c r="O57" s="283">
        <f t="shared" si="2"/>
        <v>132.38600000000002</v>
      </c>
      <c r="P57" s="283">
        <f t="shared" si="2"/>
        <v>62.417999999999992</v>
      </c>
      <c r="Q57" s="283">
        <f t="shared" si="3"/>
        <v>1216.848</v>
      </c>
      <c r="R57" s="283">
        <f t="shared" si="4"/>
        <v>1279.2659999999998</v>
      </c>
      <c r="S57" s="283">
        <f t="shared" si="5"/>
        <v>1380.74</v>
      </c>
      <c r="U57" s="498"/>
    </row>
    <row r="58" spans="1:21" ht="24.95" customHeight="1">
      <c r="A58" s="284" t="s">
        <v>118</v>
      </c>
      <c r="B58" s="285" t="s">
        <v>21</v>
      </c>
      <c r="C58" s="286" t="s">
        <v>289</v>
      </c>
      <c r="D58" s="279">
        <v>59211</v>
      </c>
      <c r="E58" s="279">
        <v>2363</v>
      </c>
      <c r="F58" s="279">
        <v>12543</v>
      </c>
      <c r="G58" s="279">
        <v>2307</v>
      </c>
      <c r="H58" s="279">
        <v>32698</v>
      </c>
      <c r="I58" s="279">
        <v>9300</v>
      </c>
      <c r="J58" s="279">
        <f t="shared" si="0"/>
        <v>47548</v>
      </c>
      <c r="K58" s="470">
        <v>6.4000000000000001E-2</v>
      </c>
      <c r="L58" s="470">
        <v>0.223</v>
      </c>
      <c r="M58" s="471">
        <v>0.17499999999999999</v>
      </c>
      <c r="N58" s="282">
        <f t="shared" si="1"/>
        <v>151.232</v>
      </c>
      <c r="O58" s="283">
        <f t="shared" si="2"/>
        <v>802.75200000000007</v>
      </c>
      <c r="P58" s="283">
        <f t="shared" si="2"/>
        <v>514.46100000000001</v>
      </c>
      <c r="Q58" s="283">
        <f t="shared" si="3"/>
        <v>7291.6540000000005</v>
      </c>
      <c r="R58" s="283">
        <f t="shared" si="4"/>
        <v>7806.1150000000007</v>
      </c>
      <c r="S58" s="283">
        <f t="shared" si="5"/>
        <v>8320.9</v>
      </c>
      <c r="U58" s="498"/>
    </row>
    <row r="59" spans="1:21" ht="24.95" customHeight="1">
      <c r="A59" s="284" t="s">
        <v>98</v>
      </c>
      <c r="B59" s="285" t="s">
        <v>18</v>
      </c>
      <c r="C59" s="286" t="s">
        <v>289</v>
      </c>
      <c r="D59" s="279">
        <v>58732</v>
      </c>
      <c r="E59" s="279">
        <v>1990</v>
      </c>
      <c r="F59" s="279">
        <v>11190</v>
      </c>
      <c r="G59" s="279">
        <v>2137</v>
      </c>
      <c r="H59" s="279">
        <v>32591</v>
      </c>
      <c r="I59" s="279">
        <v>10824</v>
      </c>
      <c r="J59" s="279">
        <f t="shared" si="0"/>
        <v>45918</v>
      </c>
      <c r="K59" s="470">
        <v>5.2000000000000005E-2</v>
      </c>
      <c r="L59" s="470">
        <v>0.19800000000000001</v>
      </c>
      <c r="M59" s="471">
        <v>0.158</v>
      </c>
      <c r="N59" s="282">
        <f t="shared" si="1"/>
        <v>103.48</v>
      </c>
      <c r="O59" s="283">
        <f t="shared" si="2"/>
        <v>581.88</v>
      </c>
      <c r="P59" s="283">
        <f t="shared" si="2"/>
        <v>423.12600000000003</v>
      </c>
      <c r="Q59" s="283">
        <f t="shared" si="3"/>
        <v>6453.018</v>
      </c>
      <c r="R59" s="283">
        <f t="shared" si="4"/>
        <v>6876.1440000000002</v>
      </c>
      <c r="S59" s="283">
        <f t="shared" si="5"/>
        <v>7255.0439999999999</v>
      </c>
      <c r="U59" s="498"/>
    </row>
    <row r="60" spans="1:21" ht="24.95" customHeight="1">
      <c r="A60" s="284" t="s">
        <v>111</v>
      </c>
      <c r="B60" s="285" t="s">
        <v>20</v>
      </c>
      <c r="C60" s="286" t="s">
        <v>288</v>
      </c>
      <c r="D60" s="279">
        <v>81417</v>
      </c>
      <c r="E60" s="279">
        <v>2404</v>
      </c>
      <c r="F60" s="279">
        <v>14718</v>
      </c>
      <c r="G60" s="279">
        <v>3006</v>
      </c>
      <c r="H60" s="279">
        <v>47673</v>
      </c>
      <c r="I60" s="279">
        <v>13616</v>
      </c>
      <c r="J60" s="279">
        <f t="shared" si="0"/>
        <v>65397</v>
      </c>
      <c r="K60" s="470">
        <v>6.0999999999999999E-2</v>
      </c>
      <c r="L60" s="470">
        <v>0.18600000000000003</v>
      </c>
      <c r="M60" s="471">
        <v>0.153</v>
      </c>
      <c r="N60" s="282">
        <f t="shared" si="1"/>
        <v>146.64400000000001</v>
      </c>
      <c r="O60" s="283">
        <f t="shared" si="2"/>
        <v>897.798</v>
      </c>
      <c r="P60" s="283">
        <f t="shared" si="2"/>
        <v>559.1160000000001</v>
      </c>
      <c r="Q60" s="283">
        <f t="shared" si="3"/>
        <v>8867.1780000000017</v>
      </c>
      <c r="R60" s="283">
        <f t="shared" si="4"/>
        <v>9426.2940000000017</v>
      </c>
      <c r="S60" s="283">
        <f t="shared" si="5"/>
        <v>10005.741</v>
      </c>
      <c r="U60" s="498"/>
    </row>
    <row r="61" spans="1:21" ht="24.95" customHeight="1">
      <c r="A61" s="284" t="s">
        <v>135</v>
      </c>
      <c r="B61" s="285" t="s">
        <v>555</v>
      </c>
      <c r="C61" s="286" t="s">
        <v>289</v>
      </c>
      <c r="D61" s="279">
        <v>35279</v>
      </c>
      <c r="E61" s="279">
        <v>1034</v>
      </c>
      <c r="F61" s="279">
        <v>5535</v>
      </c>
      <c r="G61" s="279">
        <v>1162</v>
      </c>
      <c r="H61" s="279">
        <v>17852</v>
      </c>
      <c r="I61" s="279">
        <v>9696</v>
      </c>
      <c r="J61" s="279">
        <f t="shared" si="0"/>
        <v>24549</v>
      </c>
      <c r="K61" s="470">
        <v>9.6000000000000002E-2</v>
      </c>
      <c r="L61" s="470">
        <v>0.247</v>
      </c>
      <c r="M61" s="471">
        <v>0.20800000000000002</v>
      </c>
      <c r="N61" s="282">
        <f t="shared" si="1"/>
        <v>99.263999999999996</v>
      </c>
      <c r="O61" s="283">
        <f t="shared" si="2"/>
        <v>531.36</v>
      </c>
      <c r="P61" s="283">
        <f t="shared" si="2"/>
        <v>287.01400000000001</v>
      </c>
      <c r="Q61" s="283">
        <f t="shared" si="3"/>
        <v>4409.4439999999995</v>
      </c>
      <c r="R61" s="283">
        <f t="shared" si="4"/>
        <v>4696.4579999999996</v>
      </c>
      <c r="S61" s="283">
        <f t="shared" si="5"/>
        <v>5106.192</v>
      </c>
      <c r="U61" s="498"/>
    </row>
    <row r="62" spans="1:21" ht="24.95" customHeight="1">
      <c r="A62" s="284" t="s">
        <v>136</v>
      </c>
      <c r="B62" s="285" t="s">
        <v>555</v>
      </c>
      <c r="C62" s="286" t="s">
        <v>288</v>
      </c>
      <c r="D62" s="279">
        <v>21875</v>
      </c>
      <c r="E62" s="279">
        <v>568</v>
      </c>
      <c r="F62" s="279">
        <v>3392</v>
      </c>
      <c r="G62" s="279">
        <v>1247</v>
      </c>
      <c r="H62" s="279">
        <v>12014</v>
      </c>
      <c r="I62" s="279">
        <v>4654</v>
      </c>
      <c r="J62" s="279">
        <f t="shared" si="0"/>
        <v>16653</v>
      </c>
      <c r="K62" s="470">
        <v>5.5999999999999994E-2</v>
      </c>
      <c r="L62" s="470">
        <v>0.185</v>
      </c>
      <c r="M62" s="471">
        <v>0.152</v>
      </c>
      <c r="N62" s="282">
        <f t="shared" si="1"/>
        <v>31.807999999999996</v>
      </c>
      <c r="O62" s="283">
        <f t="shared" si="2"/>
        <v>189.95199999999997</v>
      </c>
      <c r="P62" s="283">
        <f t="shared" si="2"/>
        <v>230.69499999999999</v>
      </c>
      <c r="Q62" s="283">
        <f t="shared" si="3"/>
        <v>2222.59</v>
      </c>
      <c r="R62" s="283">
        <f t="shared" si="4"/>
        <v>2453.2850000000003</v>
      </c>
      <c r="S62" s="283">
        <f t="shared" si="5"/>
        <v>2531.2559999999999</v>
      </c>
      <c r="U62" s="498"/>
    </row>
    <row r="63" spans="1:21" ht="24.95" customHeight="1">
      <c r="A63" s="284" t="s">
        <v>85</v>
      </c>
      <c r="B63" s="285" t="s">
        <v>482</v>
      </c>
      <c r="C63" s="286" t="s">
        <v>289</v>
      </c>
      <c r="D63" s="279">
        <v>23494</v>
      </c>
      <c r="E63" s="279">
        <v>732</v>
      </c>
      <c r="F63" s="279">
        <v>4151</v>
      </c>
      <c r="G63" s="279">
        <v>693</v>
      </c>
      <c r="H63" s="279">
        <v>12962</v>
      </c>
      <c r="I63" s="279">
        <v>4956</v>
      </c>
      <c r="J63" s="279">
        <f t="shared" si="0"/>
        <v>17806</v>
      </c>
      <c r="K63" s="470">
        <v>5.5E-2</v>
      </c>
      <c r="L63" s="470">
        <v>0.185</v>
      </c>
      <c r="M63" s="471">
        <v>0.151</v>
      </c>
      <c r="N63" s="282">
        <f t="shared" si="1"/>
        <v>40.26</v>
      </c>
      <c r="O63" s="283">
        <f t="shared" si="2"/>
        <v>228.30500000000001</v>
      </c>
      <c r="P63" s="283">
        <f t="shared" si="2"/>
        <v>128.20500000000001</v>
      </c>
      <c r="Q63" s="283">
        <f t="shared" si="3"/>
        <v>2397.9699999999998</v>
      </c>
      <c r="R63" s="283">
        <f t="shared" si="4"/>
        <v>2526.1749999999997</v>
      </c>
      <c r="S63" s="283">
        <f t="shared" si="5"/>
        <v>2688.7060000000001</v>
      </c>
      <c r="U63" s="498"/>
    </row>
    <row r="64" spans="1:21" ht="24.95" customHeight="1">
      <c r="A64" s="284" t="s">
        <v>137</v>
      </c>
      <c r="B64" s="285" t="s">
        <v>555</v>
      </c>
      <c r="C64" s="286" t="s">
        <v>289</v>
      </c>
      <c r="D64" s="279">
        <v>45437</v>
      </c>
      <c r="E64" s="279">
        <v>1331</v>
      </c>
      <c r="F64" s="279">
        <v>7925</v>
      </c>
      <c r="G64" s="279">
        <v>1557</v>
      </c>
      <c r="H64" s="279">
        <v>25784</v>
      </c>
      <c r="I64" s="279">
        <v>8840</v>
      </c>
      <c r="J64" s="279">
        <f t="shared" si="0"/>
        <v>35266</v>
      </c>
      <c r="K64" s="470">
        <v>5.2999999999999999E-2</v>
      </c>
      <c r="L64" s="470">
        <v>0.191</v>
      </c>
      <c r="M64" s="471">
        <v>0.155</v>
      </c>
      <c r="N64" s="282">
        <f t="shared" si="1"/>
        <v>70.542999999999992</v>
      </c>
      <c r="O64" s="283">
        <f t="shared" si="2"/>
        <v>420.02499999999998</v>
      </c>
      <c r="P64" s="283">
        <f t="shared" si="2"/>
        <v>297.387</v>
      </c>
      <c r="Q64" s="283">
        <f t="shared" si="3"/>
        <v>4924.7439999999997</v>
      </c>
      <c r="R64" s="283">
        <f t="shared" si="4"/>
        <v>5222.1309999999994</v>
      </c>
      <c r="S64" s="283">
        <f t="shared" si="5"/>
        <v>5466.23</v>
      </c>
      <c r="U64" s="498"/>
    </row>
    <row r="65" spans="1:21" ht="24.95" customHeight="1">
      <c r="A65" s="284" t="s">
        <v>105</v>
      </c>
      <c r="B65" s="285" t="s">
        <v>14</v>
      </c>
      <c r="C65" s="286" t="s">
        <v>288</v>
      </c>
      <c r="D65" s="279">
        <v>1054561</v>
      </c>
      <c r="E65" s="279">
        <v>42441</v>
      </c>
      <c r="F65" s="279">
        <v>211891</v>
      </c>
      <c r="G65" s="279">
        <v>36404</v>
      </c>
      <c r="H65" s="279">
        <v>651596</v>
      </c>
      <c r="I65" s="279">
        <v>112229</v>
      </c>
      <c r="J65" s="279">
        <f t="shared" si="0"/>
        <v>899891</v>
      </c>
      <c r="K65" s="470">
        <v>5.2000000000000005E-2</v>
      </c>
      <c r="L65" s="470">
        <v>0.187</v>
      </c>
      <c r="M65" s="471">
        <v>0.14899999999999999</v>
      </c>
      <c r="N65" s="282">
        <f t="shared" si="1"/>
        <v>2206.9320000000002</v>
      </c>
      <c r="O65" s="283">
        <f t="shared" si="2"/>
        <v>11018.332</v>
      </c>
      <c r="P65" s="283">
        <f t="shared" si="2"/>
        <v>6807.5479999999998</v>
      </c>
      <c r="Q65" s="283">
        <f t="shared" si="3"/>
        <v>121848.452</v>
      </c>
      <c r="R65" s="283">
        <f t="shared" si="4"/>
        <v>128656</v>
      </c>
      <c r="S65" s="283">
        <f t="shared" si="5"/>
        <v>134083.75899999999</v>
      </c>
      <c r="U65" s="498"/>
    </row>
    <row r="66" spans="1:21" ht="24.95" customHeight="1">
      <c r="A66" s="284" t="s">
        <v>138</v>
      </c>
      <c r="B66" s="285" t="s">
        <v>555</v>
      </c>
      <c r="C66" s="286" t="s">
        <v>289</v>
      </c>
      <c r="D66" s="279">
        <v>15894</v>
      </c>
      <c r="E66" s="279">
        <v>459</v>
      </c>
      <c r="F66" s="279">
        <v>2443</v>
      </c>
      <c r="G66" s="279">
        <v>385</v>
      </c>
      <c r="H66" s="279">
        <v>8944</v>
      </c>
      <c r="I66" s="279">
        <v>3663</v>
      </c>
      <c r="J66" s="279">
        <f t="shared" si="0"/>
        <v>11772</v>
      </c>
      <c r="K66" s="470">
        <v>6.7000000000000004E-2</v>
      </c>
      <c r="L66" s="470">
        <v>0.192</v>
      </c>
      <c r="M66" s="471">
        <v>0.161</v>
      </c>
      <c r="N66" s="282">
        <f t="shared" si="1"/>
        <v>30.753</v>
      </c>
      <c r="O66" s="283">
        <f t="shared" si="2"/>
        <v>163.68100000000001</v>
      </c>
      <c r="P66" s="283">
        <f t="shared" si="2"/>
        <v>73.92</v>
      </c>
      <c r="Q66" s="283">
        <f t="shared" si="3"/>
        <v>1717.248</v>
      </c>
      <c r="R66" s="283">
        <f t="shared" si="4"/>
        <v>1791.1680000000001</v>
      </c>
      <c r="S66" s="283">
        <f t="shared" si="5"/>
        <v>1895.2920000000001</v>
      </c>
      <c r="U66" s="498"/>
    </row>
    <row r="67" spans="1:21" ht="24.95" customHeight="1">
      <c r="A67" s="284" t="s">
        <v>119</v>
      </c>
      <c r="B67" s="285" t="s">
        <v>21</v>
      </c>
      <c r="C67" s="286" t="s">
        <v>289</v>
      </c>
      <c r="D67" s="279">
        <v>27864</v>
      </c>
      <c r="E67" s="279">
        <v>917</v>
      </c>
      <c r="F67" s="279">
        <v>5322</v>
      </c>
      <c r="G67" s="279">
        <v>1103</v>
      </c>
      <c r="H67" s="279">
        <v>15118</v>
      </c>
      <c r="I67" s="279">
        <v>5404</v>
      </c>
      <c r="J67" s="279">
        <f t="shared" si="0"/>
        <v>21543</v>
      </c>
      <c r="K67" s="470">
        <v>7.5999999999999998E-2</v>
      </c>
      <c r="L67" s="470">
        <v>0.252</v>
      </c>
      <c r="M67" s="471">
        <v>0.20100000000000001</v>
      </c>
      <c r="N67" s="282">
        <f t="shared" si="1"/>
        <v>69.691999999999993</v>
      </c>
      <c r="O67" s="283">
        <f t="shared" si="2"/>
        <v>404.47199999999998</v>
      </c>
      <c r="P67" s="283">
        <f t="shared" si="2"/>
        <v>277.95600000000002</v>
      </c>
      <c r="Q67" s="283">
        <f t="shared" si="3"/>
        <v>3809.7359999999999</v>
      </c>
      <c r="R67" s="283">
        <f t="shared" si="4"/>
        <v>4087.692</v>
      </c>
      <c r="S67" s="283">
        <f t="shared" si="5"/>
        <v>4330.143</v>
      </c>
      <c r="U67" s="498"/>
    </row>
    <row r="68" spans="1:21" ht="24.95" customHeight="1">
      <c r="A68" s="284" t="s">
        <v>120</v>
      </c>
      <c r="B68" s="285" t="s">
        <v>21</v>
      </c>
      <c r="C68" s="286" t="s">
        <v>289</v>
      </c>
      <c r="D68" s="279">
        <v>95327</v>
      </c>
      <c r="E68" s="279">
        <v>3056</v>
      </c>
      <c r="F68" s="279">
        <v>16749</v>
      </c>
      <c r="G68" s="279">
        <v>3102</v>
      </c>
      <c r="H68" s="279">
        <v>48149</v>
      </c>
      <c r="I68" s="279">
        <v>24271</v>
      </c>
      <c r="J68" s="279">
        <f t="shared" si="0"/>
        <v>68000</v>
      </c>
      <c r="K68" s="470">
        <v>6.2E-2</v>
      </c>
      <c r="L68" s="470">
        <v>0.184</v>
      </c>
      <c r="M68" s="471">
        <v>0.15</v>
      </c>
      <c r="N68" s="282">
        <f t="shared" si="1"/>
        <v>189.47200000000001</v>
      </c>
      <c r="O68" s="283">
        <f t="shared" si="2"/>
        <v>1038.4380000000001</v>
      </c>
      <c r="P68" s="283">
        <f t="shared" si="2"/>
        <v>570.76800000000003</v>
      </c>
      <c r="Q68" s="283">
        <f t="shared" si="3"/>
        <v>8859.4159999999993</v>
      </c>
      <c r="R68" s="283">
        <f t="shared" si="4"/>
        <v>9430.1839999999993</v>
      </c>
      <c r="S68" s="283">
        <f t="shared" si="5"/>
        <v>10200</v>
      </c>
      <c r="U68" s="498"/>
    </row>
    <row r="69" spans="1:21" ht="24.95" customHeight="1">
      <c r="A69" s="284" t="s">
        <v>99</v>
      </c>
      <c r="B69" s="285" t="s">
        <v>18</v>
      </c>
      <c r="C69" s="286" t="s">
        <v>288</v>
      </c>
      <c r="D69" s="279">
        <v>94140</v>
      </c>
      <c r="E69" s="279">
        <v>3087</v>
      </c>
      <c r="F69" s="279">
        <v>17436</v>
      </c>
      <c r="G69" s="279">
        <v>3480</v>
      </c>
      <c r="H69" s="279">
        <v>53723</v>
      </c>
      <c r="I69" s="279">
        <v>16414</v>
      </c>
      <c r="J69" s="279">
        <f t="shared" si="0"/>
        <v>74639</v>
      </c>
      <c r="K69" s="470">
        <v>5.2999999999999999E-2</v>
      </c>
      <c r="L69" s="470">
        <v>0.193</v>
      </c>
      <c r="M69" s="471">
        <v>0.154</v>
      </c>
      <c r="N69" s="282">
        <f t="shared" si="1"/>
        <v>163.61099999999999</v>
      </c>
      <c r="O69" s="283">
        <f t="shared" si="2"/>
        <v>924.10799999999995</v>
      </c>
      <c r="P69" s="283">
        <f t="shared" si="2"/>
        <v>671.64</v>
      </c>
      <c r="Q69" s="283">
        <f t="shared" si="3"/>
        <v>10368.539000000001</v>
      </c>
      <c r="R69" s="283">
        <f t="shared" si="4"/>
        <v>11040.179</v>
      </c>
      <c r="S69" s="283">
        <f t="shared" si="5"/>
        <v>11494.405999999999</v>
      </c>
      <c r="U69" s="498"/>
    </row>
    <row r="70" spans="1:21" ht="24.95" customHeight="1">
      <c r="A70" s="284" t="s">
        <v>71</v>
      </c>
      <c r="B70" s="285" t="s">
        <v>482</v>
      </c>
      <c r="C70" s="286" t="s">
        <v>288</v>
      </c>
      <c r="D70" s="279">
        <v>223260</v>
      </c>
      <c r="E70" s="279">
        <v>6757</v>
      </c>
      <c r="F70" s="279">
        <v>35610</v>
      </c>
      <c r="G70" s="279">
        <v>11703</v>
      </c>
      <c r="H70" s="279">
        <v>132527</v>
      </c>
      <c r="I70" s="279">
        <v>36663</v>
      </c>
      <c r="J70" s="279">
        <f t="shared" ref="J70:J105" si="6">SUM(F70:H70)</f>
        <v>179840</v>
      </c>
      <c r="K70" s="470">
        <v>5.4000000000000006E-2</v>
      </c>
      <c r="L70" s="470">
        <v>0.17399999999999999</v>
      </c>
      <c r="M70" s="471">
        <v>0.14499999999999999</v>
      </c>
      <c r="N70" s="282">
        <f t="shared" si="1"/>
        <v>364.87800000000004</v>
      </c>
      <c r="O70" s="283">
        <f t="shared" si="2"/>
        <v>1922.9400000000003</v>
      </c>
      <c r="P70" s="283">
        <f t="shared" si="2"/>
        <v>2036.3219999999999</v>
      </c>
      <c r="Q70" s="283">
        <f t="shared" si="3"/>
        <v>23059.697999999997</v>
      </c>
      <c r="R70" s="283">
        <f t="shared" si="4"/>
        <v>25096.019999999997</v>
      </c>
      <c r="S70" s="283">
        <f t="shared" si="5"/>
        <v>26076.799999999999</v>
      </c>
      <c r="U70" s="498"/>
    </row>
    <row r="71" spans="1:21" ht="24.95" customHeight="1">
      <c r="A71" s="284" t="s">
        <v>86</v>
      </c>
      <c r="B71" s="285" t="s">
        <v>482</v>
      </c>
      <c r="C71" s="286" t="s">
        <v>289</v>
      </c>
      <c r="D71" s="279">
        <v>20960</v>
      </c>
      <c r="E71" s="279">
        <v>550</v>
      </c>
      <c r="F71" s="279">
        <v>3402</v>
      </c>
      <c r="G71" s="279">
        <v>548</v>
      </c>
      <c r="H71" s="279">
        <v>11736</v>
      </c>
      <c r="I71" s="279">
        <v>4724</v>
      </c>
      <c r="J71" s="279">
        <f t="shared" si="6"/>
        <v>15686</v>
      </c>
      <c r="K71" s="470">
        <v>5.0999999999999997E-2</v>
      </c>
      <c r="L71" s="470">
        <v>0.17899999999999999</v>
      </c>
      <c r="M71" s="471">
        <v>0.14699999999999999</v>
      </c>
      <c r="N71" s="282">
        <f t="shared" ref="N71:N105" si="7">E71*K71</f>
        <v>28.049999999999997</v>
      </c>
      <c r="O71" s="283">
        <f t="shared" ref="O71:P105" si="8">F71*K71</f>
        <v>173.50199999999998</v>
      </c>
      <c r="P71" s="283">
        <f t="shared" si="8"/>
        <v>98.091999999999999</v>
      </c>
      <c r="Q71" s="283">
        <f t="shared" ref="Q71:Q105" si="9">H71*L71</f>
        <v>2100.7439999999997</v>
      </c>
      <c r="R71" s="283">
        <f t="shared" ref="R71:R105" si="10">SUM(P71:Q71)</f>
        <v>2198.8359999999998</v>
      </c>
      <c r="S71" s="283">
        <f t="shared" ref="S71:S105" si="11">J71*M71</f>
        <v>2305.8420000000001</v>
      </c>
      <c r="U71" s="498"/>
    </row>
    <row r="72" spans="1:21" ht="24.95" customHeight="1">
      <c r="A72" s="284" t="s">
        <v>72</v>
      </c>
      <c r="B72" s="285" t="s">
        <v>482</v>
      </c>
      <c r="C72" s="286" t="s">
        <v>288</v>
      </c>
      <c r="D72" s="279">
        <v>195835</v>
      </c>
      <c r="E72" s="279">
        <v>12364</v>
      </c>
      <c r="F72" s="279">
        <v>44167</v>
      </c>
      <c r="G72" s="279">
        <v>14655</v>
      </c>
      <c r="H72" s="279">
        <v>107185</v>
      </c>
      <c r="I72" s="279">
        <v>17464</v>
      </c>
      <c r="J72" s="279">
        <f t="shared" si="6"/>
        <v>166007</v>
      </c>
      <c r="K72" s="470">
        <v>0.04</v>
      </c>
      <c r="L72" s="470">
        <v>0.14699999999999999</v>
      </c>
      <c r="M72" s="471">
        <v>0.115</v>
      </c>
      <c r="N72" s="282">
        <f t="shared" si="7"/>
        <v>494.56</v>
      </c>
      <c r="O72" s="283">
        <f t="shared" si="8"/>
        <v>1766.68</v>
      </c>
      <c r="P72" s="283">
        <f t="shared" si="8"/>
        <v>2154.2849999999999</v>
      </c>
      <c r="Q72" s="283">
        <f t="shared" si="9"/>
        <v>15756.195</v>
      </c>
      <c r="R72" s="283">
        <f t="shared" si="10"/>
        <v>17910.48</v>
      </c>
      <c r="S72" s="283">
        <f t="shared" si="11"/>
        <v>19090.805</v>
      </c>
      <c r="U72" s="498"/>
    </row>
    <row r="73" spans="1:21" ht="24.95" customHeight="1">
      <c r="A73" s="284" t="s">
        <v>58</v>
      </c>
      <c r="B73" s="285" t="s">
        <v>14</v>
      </c>
      <c r="C73" s="286" t="s">
        <v>288</v>
      </c>
      <c r="D73" s="279">
        <v>143264</v>
      </c>
      <c r="E73" s="279">
        <v>3669</v>
      </c>
      <c r="F73" s="279">
        <v>23711</v>
      </c>
      <c r="G73" s="279">
        <v>12214</v>
      </c>
      <c r="H73" s="279">
        <v>85462</v>
      </c>
      <c r="I73" s="279">
        <v>18208</v>
      </c>
      <c r="J73" s="279">
        <f t="shared" si="6"/>
        <v>121387</v>
      </c>
      <c r="K73" s="470">
        <v>5.7000000000000002E-2</v>
      </c>
      <c r="L73" s="470">
        <v>0.14400000000000002</v>
      </c>
      <c r="M73" s="471">
        <v>0.121</v>
      </c>
      <c r="N73" s="282">
        <f t="shared" si="7"/>
        <v>209.13300000000001</v>
      </c>
      <c r="O73" s="283">
        <f t="shared" si="8"/>
        <v>1351.527</v>
      </c>
      <c r="P73" s="283">
        <f t="shared" si="8"/>
        <v>1758.8160000000003</v>
      </c>
      <c r="Q73" s="283">
        <f t="shared" si="9"/>
        <v>12306.528000000002</v>
      </c>
      <c r="R73" s="283">
        <f t="shared" si="10"/>
        <v>14065.344000000003</v>
      </c>
      <c r="S73" s="283">
        <f t="shared" si="11"/>
        <v>14687.826999999999</v>
      </c>
      <c r="U73" s="498"/>
    </row>
    <row r="74" spans="1:21" ht="24.95" customHeight="1">
      <c r="A74" s="284" t="s">
        <v>87</v>
      </c>
      <c r="B74" s="285" t="s">
        <v>482</v>
      </c>
      <c r="C74" s="286" t="s">
        <v>288</v>
      </c>
      <c r="D74" s="279">
        <v>13184</v>
      </c>
      <c r="E74" s="279">
        <v>296</v>
      </c>
      <c r="F74" s="279">
        <v>1815</v>
      </c>
      <c r="G74" s="279">
        <v>330</v>
      </c>
      <c r="H74" s="279">
        <v>7137</v>
      </c>
      <c r="I74" s="279">
        <v>3606</v>
      </c>
      <c r="J74" s="279">
        <f t="shared" si="6"/>
        <v>9282</v>
      </c>
      <c r="K74" s="470">
        <v>0.09</v>
      </c>
      <c r="L74" s="470">
        <v>0.185</v>
      </c>
      <c r="M74" s="471">
        <v>0.16200000000000001</v>
      </c>
      <c r="N74" s="282">
        <f t="shared" si="7"/>
        <v>26.64</v>
      </c>
      <c r="O74" s="283">
        <f t="shared" si="8"/>
        <v>163.35</v>
      </c>
      <c r="P74" s="283">
        <f t="shared" si="8"/>
        <v>61.05</v>
      </c>
      <c r="Q74" s="283">
        <f t="shared" si="9"/>
        <v>1320.345</v>
      </c>
      <c r="R74" s="283">
        <f t="shared" si="10"/>
        <v>1381.395</v>
      </c>
      <c r="S74" s="283">
        <f t="shared" si="11"/>
        <v>1503.684</v>
      </c>
      <c r="U74" s="498"/>
    </row>
    <row r="75" spans="1:21" ht="24.95" customHeight="1">
      <c r="A75" s="284" t="s">
        <v>88</v>
      </c>
      <c r="B75" s="285" t="s">
        <v>482</v>
      </c>
      <c r="C75" s="286" t="s">
        <v>289</v>
      </c>
      <c r="D75" s="279">
        <v>40112</v>
      </c>
      <c r="E75" s="279">
        <v>1457</v>
      </c>
      <c r="F75" s="279">
        <v>7706</v>
      </c>
      <c r="G75" s="279">
        <v>2255</v>
      </c>
      <c r="H75" s="279">
        <v>22627</v>
      </c>
      <c r="I75" s="279">
        <v>6067</v>
      </c>
      <c r="J75" s="279">
        <f t="shared" si="6"/>
        <v>32588</v>
      </c>
      <c r="K75" s="470">
        <v>0.05</v>
      </c>
      <c r="L75" s="470">
        <v>0.19600000000000001</v>
      </c>
      <c r="M75" s="471">
        <v>0.156</v>
      </c>
      <c r="N75" s="282">
        <f t="shared" si="7"/>
        <v>72.850000000000009</v>
      </c>
      <c r="O75" s="283">
        <f t="shared" si="8"/>
        <v>385.3</v>
      </c>
      <c r="P75" s="283">
        <f t="shared" si="8"/>
        <v>441.98</v>
      </c>
      <c r="Q75" s="283">
        <f t="shared" si="9"/>
        <v>4434.8919999999998</v>
      </c>
      <c r="R75" s="283">
        <f t="shared" si="10"/>
        <v>4876.8719999999994</v>
      </c>
      <c r="S75" s="283">
        <f t="shared" si="11"/>
        <v>5083.7280000000001</v>
      </c>
      <c r="U75" s="498"/>
    </row>
    <row r="76" spans="1:21" ht="24.95" customHeight="1">
      <c r="A76" s="284" t="s">
        <v>73</v>
      </c>
      <c r="B76" s="285" t="s">
        <v>482</v>
      </c>
      <c r="C76" s="286" t="s">
        <v>288</v>
      </c>
      <c r="D76" s="279">
        <v>58815</v>
      </c>
      <c r="E76" s="279">
        <v>1859</v>
      </c>
      <c r="F76" s="279">
        <v>10415</v>
      </c>
      <c r="G76" s="279">
        <v>2231</v>
      </c>
      <c r="H76" s="279">
        <v>33966</v>
      </c>
      <c r="I76" s="279">
        <v>10344</v>
      </c>
      <c r="J76" s="279">
        <f t="shared" si="6"/>
        <v>46612</v>
      </c>
      <c r="K76" s="470">
        <v>6.6000000000000003E-2</v>
      </c>
      <c r="L76" s="470">
        <v>0.2</v>
      </c>
      <c r="M76" s="471">
        <v>0.16300000000000001</v>
      </c>
      <c r="N76" s="282">
        <f t="shared" si="7"/>
        <v>122.694</v>
      </c>
      <c r="O76" s="283">
        <f t="shared" si="8"/>
        <v>687.39</v>
      </c>
      <c r="P76" s="283">
        <f t="shared" si="8"/>
        <v>446.20000000000005</v>
      </c>
      <c r="Q76" s="283">
        <f t="shared" si="9"/>
        <v>6793.2000000000007</v>
      </c>
      <c r="R76" s="283">
        <f t="shared" si="10"/>
        <v>7239.4000000000005</v>
      </c>
      <c r="S76" s="283">
        <f t="shared" si="11"/>
        <v>7597.7560000000003</v>
      </c>
      <c r="U76" s="498"/>
    </row>
    <row r="77" spans="1:21" ht="24.95" customHeight="1">
      <c r="A77" s="284" t="s">
        <v>89</v>
      </c>
      <c r="B77" s="285" t="s">
        <v>482</v>
      </c>
      <c r="C77" s="286" t="s">
        <v>289</v>
      </c>
      <c r="D77" s="279">
        <v>13539</v>
      </c>
      <c r="E77" s="279">
        <v>400</v>
      </c>
      <c r="F77" s="279">
        <v>2198</v>
      </c>
      <c r="G77" s="279">
        <v>379</v>
      </c>
      <c r="H77" s="279">
        <v>7030</v>
      </c>
      <c r="I77" s="279">
        <v>3532</v>
      </c>
      <c r="J77" s="279">
        <f t="shared" si="6"/>
        <v>9607</v>
      </c>
      <c r="K77" s="470">
        <v>6.0999999999999999E-2</v>
      </c>
      <c r="L77" s="470">
        <v>0.18899999999999997</v>
      </c>
      <c r="M77" s="471">
        <v>0.154</v>
      </c>
      <c r="N77" s="282">
        <f t="shared" si="7"/>
        <v>24.4</v>
      </c>
      <c r="O77" s="283">
        <f t="shared" si="8"/>
        <v>134.078</v>
      </c>
      <c r="P77" s="283">
        <f t="shared" si="8"/>
        <v>71.630999999999986</v>
      </c>
      <c r="Q77" s="283">
        <f t="shared" si="9"/>
        <v>1328.6699999999998</v>
      </c>
      <c r="R77" s="283">
        <f t="shared" si="10"/>
        <v>1400.3009999999999</v>
      </c>
      <c r="S77" s="283">
        <f t="shared" si="11"/>
        <v>1479.4780000000001</v>
      </c>
      <c r="U77" s="498"/>
    </row>
    <row r="78" spans="1:21" ht="24.95" customHeight="1">
      <c r="A78" s="284" t="s">
        <v>59</v>
      </c>
      <c r="B78" s="285" t="s">
        <v>14</v>
      </c>
      <c r="C78" s="286" t="s">
        <v>288</v>
      </c>
      <c r="D78" s="279">
        <v>39383</v>
      </c>
      <c r="E78" s="279">
        <v>1313</v>
      </c>
      <c r="F78" s="279">
        <v>7066</v>
      </c>
      <c r="G78" s="279">
        <v>1247</v>
      </c>
      <c r="H78" s="279">
        <v>22607</v>
      </c>
      <c r="I78" s="279">
        <v>7150</v>
      </c>
      <c r="J78" s="279">
        <f t="shared" si="6"/>
        <v>30920</v>
      </c>
      <c r="K78" s="470">
        <v>5.5999999999999994E-2</v>
      </c>
      <c r="L78" s="470">
        <v>0.17899999999999999</v>
      </c>
      <c r="M78" s="471">
        <v>0.14599999999999999</v>
      </c>
      <c r="N78" s="282">
        <f t="shared" si="7"/>
        <v>73.527999999999992</v>
      </c>
      <c r="O78" s="283">
        <f t="shared" si="8"/>
        <v>395.69599999999997</v>
      </c>
      <c r="P78" s="283">
        <f t="shared" si="8"/>
        <v>223.21299999999999</v>
      </c>
      <c r="Q78" s="283">
        <f t="shared" si="9"/>
        <v>4046.6529999999998</v>
      </c>
      <c r="R78" s="283">
        <f t="shared" si="10"/>
        <v>4269.866</v>
      </c>
      <c r="S78" s="283">
        <f t="shared" si="11"/>
        <v>4514.32</v>
      </c>
      <c r="U78" s="498"/>
    </row>
    <row r="79" spans="1:21" ht="24.95" customHeight="1">
      <c r="A79" s="284" t="s">
        <v>90</v>
      </c>
      <c r="B79" s="285" t="s">
        <v>482</v>
      </c>
      <c r="C79" s="286" t="s">
        <v>288</v>
      </c>
      <c r="D79" s="279">
        <v>176269</v>
      </c>
      <c r="E79" s="279">
        <v>6070</v>
      </c>
      <c r="F79" s="279">
        <v>32557</v>
      </c>
      <c r="G79" s="279">
        <v>14834</v>
      </c>
      <c r="H79" s="279">
        <v>101432</v>
      </c>
      <c r="I79" s="279">
        <v>21376</v>
      </c>
      <c r="J79" s="279">
        <f t="shared" si="6"/>
        <v>148823</v>
      </c>
      <c r="K79" s="470">
        <v>0.05</v>
      </c>
      <c r="L79" s="470">
        <v>0.17699999999999999</v>
      </c>
      <c r="M79" s="471">
        <v>0.14400000000000002</v>
      </c>
      <c r="N79" s="282">
        <f t="shared" si="7"/>
        <v>303.5</v>
      </c>
      <c r="O79" s="283">
        <f t="shared" si="8"/>
        <v>1627.8500000000001</v>
      </c>
      <c r="P79" s="283">
        <f t="shared" si="8"/>
        <v>2625.6179999999999</v>
      </c>
      <c r="Q79" s="283">
        <f t="shared" si="9"/>
        <v>17953.464</v>
      </c>
      <c r="R79" s="283">
        <f t="shared" si="10"/>
        <v>20579.081999999999</v>
      </c>
      <c r="S79" s="283">
        <f t="shared" si="11"/>
        <v>21430.512000000002</v>
      </c>
      <c r="U79" s="498"/>
    </row>
    <row r="80" spans="1:21" ht="24.95" customHeight="1">
      <c r="A80" s="284" t="s">
        <v>139</v>
      </c>
      <c r="B80" s="285" t="s">
        <v>555</v>
      </c>
      <c r="C80" s="286" t="s">
        <v>289</v>
      </c>
      <c r="D80" s="279">
        <v>20955</v>
      </c>
      <c r="E80" s="279">
        <v>481</v>
      </c>
      <c r="F80" s="279">
        <v>3035</v>
      </c>
      <c r="G80" s="279">
        <v>599</v>
      </c>
      <c r="H80" s="279">
        <v>10950</v>
      </c>
      <c r="I80" s="279">
        <v>5890</v>
      </c>
      <c r="J80" s="279">
        <f t="shared" si="6"/>
        <v>14584</v>
      </c>
      <c r="K80" s="470">
        <v>8.8000000000000009E-2</v>
      </c>
      <c r="L80" s="470">
        <v>0.20600000000000002</v>
      </c>
      <c r="M80" s="471">
        <v>0.17699999999999999</v>
      </c>
      <c r="N80" s="282">
        <f t="shared" si="7"/>
        <v>42.328000000000003</v>
      </c>
      <c r="O80" s="283">
        <f t="shared" si="8"/>
        <v>267.08000000000004</v>
      </c>
      <c r="P80" s="283">
        <f t="shared" si="8"/>
        <v>123.39400000000001</v>
      </c>
      <c r="Q80" s="283">
        <f t="shared" si="9"/>
        <v>2255.7000000000003</v>
      </c>
      <c r="R80" s="283">
        <f t="shared" si="10"/>
        <v>2379.0940000000001</v>
      </c>
      <c r="S80" s="283">
        <f t="shared" si="11"/>
        <v>2581.3679999999999</v>
      </c>
      <c r="U80" s="498"/>
    </row>
    <row r="81" spans="1:21" ht="24.95" customHeight="1">
      <c r="A81" s="284" t="s">
        <v>121</v>
      </c>
      <c r="B81" s="285" t="s">
        <v>21</v>
      </c>
      <c r="C81" s="286" t="s">
        <v>288</v>
      </c>
      <c r="D81" s="279">
        <v>144254</v>
      </c>
      <c r="E81" s="279">
        <v>4746</v>
      </c>
      <c r="F81" s="279">
        <v>27809</v>
      </c>
      <c r="G81" s="279">
        <v>5902</v>
      </c>
      <c r="H81" s="279">
        <v>81739</v>
      </c>
      <c r="I81" s="279">
        <v>24058</v>
      </c>
      <c r="J81" s="279">
        <f t="shared" si="6"/>
        <v>115450</v>
      </c>
      <c r="K81" s="470">
        <v>6.9000000000000006E-2</v>
      </c>
      <c r="L81" s="470">
        <v>0.21</v>
      </c>
      <c r="M81" s="471">
        <v>0.17</v>
      </c>
      <c r="N81" s="282">
        <f t="shared" si="7"/>
        <v>327.47400000000005</v>
      </c>
      <c r="O81" s="283">
        <f t="shared" si="8"/>
        <v>1918.8210000000001</v>
      </c>
      <c r="P81" s="283">
        <f t="shared" si="8"/>
        <v>1239.4199999999998</v>
      </c>
      <c r="Q81" s="283">
        <f t="shared" si="9"/>
        <v>17165.189999999999</v>
      </c>
      <c r="R81" s="283">
        <f t="shared" si="10"/>
        <v>18404.609999999997</v>
      </c>
      <c r="S81" s="283">
        <f t="shared" si="11"/>
        <v>19626.5</v>
      </c>
      <c r="U81" s="498"/>
    </row>
    <row r="82" spans="1:21" ht="24.95" customHeight="1">
      <c r="A82" s="284" t="s">
        <v>122</v>
      </c>
      <c r="B82" s="285" t="s">
        <v>21</v>
      </c>
      <c r="C82" s="286" t="s">
        <v>289</v>
      </c>
      <c r="D82" s="279">
        <v>45484</v>
      </c>
      <c r="E82" s="279">
        <v>1519</v>
      </c>
      <c r="F82" s="279">
        <v>8922</v>
      </c>
      <c r="G82" s="279">
        <v>2200</v>
      </c>
      <c r="H82" s="279">
        <v>25186</v>
      </c>
      <c r="I82" s="279">
        <v>7657</v>
      </c>
      <c r="J82" s="279">
        <f t="shared" si="6"/>
        <v>36308</v>
      </c>
      <c r="K82" s="470">
        <v>5.2999999999999999E-2</v>
      </c>
      <c r="L82" s="470">
        <v>0.22699999999999998</v>
      </c>
      <c r="M82" s="471">
        <v>0.17699999999999999</v>
      </c>
      <c r="N82" s="282">
        <f t="shared" si="7"/>
        <v>80.506999999999991</v>
      </c>
      <c r="O82" s="283">
        <f t="shared" si="8"/>
        <v>472.86599999999999</v>
      </c>
      <c r="P82" s="283">
        <f t="shared" si="8"/>
        <v>499.4</v>
      </c>
      <c r="Q82" s="283">
        <f t="shared" si="9"/>
        <v>5717.2219999999998</v>
      </c>
      <c r="R82" s="283">
        <f t="shared" si="10"/>
        <v>6216.6219999999994</v>
      </c>
      <c r="S82" s="283">
        <f t="shared" si="11"/>
        <v>6426.5159999999996</v>
      </c>
      <c r="U82" s="498"/>
    </row>
    <row r="83" spans="1:21" ht="24.95" customHeight="1">
      <c r="A83" s="284" t="s">
        <v>100</v>
      </c>
      <c r="B83" s="285" t="s">
        <v>18</v>
      </c>
      <c r="C83" s="286" t="s">
        <v>289</v>
      </c>
      <c r="D83" s="279">
        <v>132948</v>
      </c>
      <c r="E83" s="279">
        <v>5208</v>
      </c>
      <c r="F83" s="279">
        <v>27729</v>
      </c>
      <c r="G83" s="279">
        <v>7716</v>
      </c>
      <c r="H83" s="279">
        <v>73656</v>
      </c>
      <c r="I83" s="279">
        <v>18639</v>
      </c>
      <c r="J83" s="279">
        <f t="shared" si="6"/>
        <v>109101</v>
      </c>
      <c r="K83" s="470">
        <v>6.5000000000000002E-2</v>
      </c>
      <c r="L83" s="470">
        <v>0.28300000000000003</v>
      </c>
      <c r="M83" s="471">
        <v>0.217</v>
      </c>
      <c r="N83" s="282">
        <f t="shared" si="7"/>
        <v>338.52000000000004</v>
      </c>
      <c r="O83" s="283">
        <f t="shared" si="8"/>
        <v>1802.385</v>
      </c>
      <c r="P83" s="283">
        <f t="shared" si="8"/>
        <v>2183.6280000000002</v>
      </c>
      <c r="Q83" s="283">
        <f t="shared" si="9"/>
        <v>20844.648000000001</v>
      </c>
      <c r="R83" s="283">
        <f t="shared" si="10"/>
        <v>23028.276000000002</v>
      </c>
      <c r="S83" s="283">
        <f t="shared" si="11"/>
        <v>23674.917000000001</v>
      </c>
      <c r="U83" s="498"/>
    </row>
    <row r="84" spans="1:21" ht="24.95" customHeight="1">
      <c r="A84" s="284" t="s">
        <v>67</v>
      </c>
      <c r="B84" s="285" t="s">
        <v>14</v>
      </c>
      <c r="C84" s="286" t="s">
        <v>288</v>
      </c>
      <c r="D84" s="279">
        <v>92543</v>
      </c>
      <c r="E84" s="279">
        <v>2895</v>
      </c>
      <c r="F84" s="279">
        <v>16221</v>
      </c>
      <c r="G84" s="279">
        <v>3120</v>
      </c>
      <c r="H84" s="279">
        <v>52852</v>
      </c>
      <c r="I84" s="279">
        <v>17455</v>
      </c>
      <c r="J84" s="279">
        <f t="shared" si="6"/>
        <v>72193</v>
      </c>
      <c r="K84" s="470">
        <v>5.4000000000000006E-2</v>
      </c>
      <c r="L84" s="470">
        <v>0.184</v>
      </c>
      <c r="M84" s="471">
        <v>0.15</v>
      </c>
      <c r="N84" s="282">
        <f t="shared" si="7"/>
        <v>156.33000000000001</v>
      </c>
      <c r="O84" s="283">
        <f t="shared" si="8"/>
        <v>875.93400000000008</v>
      </c>
      <c r="P84" s="283">
        <f t="shared" si="8"/>
        <v>574.08000000000004</v>
      </c>
      <c r="Q84" s="283">
        <f t="shared" si="9"/>
        <v>9724.768</v>
      </c>
      <c r="R84" s="283">
        <f t="shared" si="10"/>
        <v>10298.848</v>
      </c>
      <c r="S84" s="283">
        <f t="shared" si="11"/>
        <v>10828.949999999999</v>
      </c>
      <c r="U84" s="498"/>
    </row>
    <row r="85" spans="1:21" ht="24.95" customHeight="1">
      <c r="A85" s="284" t="s">
        <v>60</v>
      </c>
      <c r="B85" s="285" t="s">
        <v>14</v>
      </c>
      <c r="C85" s="286" t="s">
        <v>288</v>
      </c>
      <c r="D85" s="279">
        <v>138710</v>
      </c>
      <c r="E85" s="279">
        <v>4495</v>
      </c>
      <c r="F85" s="279">
        <v>26517</v>
      </c>
      <c r="G85" s="279">
        <v>5653</v>
      </c>
      <c r="H85" s="279">
        <v>79228</v>
      </c>
      <c r="I85" s="279">
        <v>22817</v>
      </c>
      <c r="J85" s="279">
        <f t="shared" si="6"/>
        <v>111398</v>
      </c>
      <c r="K85" s="470">
        <v>5.9000000000000004E-2</v>
      </c>
      <c r="L85" s="470">
        <v>0.21199999999999999</v>
      </c>
      <c r="M85" s="471">
        <v>0.16899999999999998</v>
      </c>
      <c r="N85" s="282">
        <f t="shared" si="7"/>
        <v>265.20500000000004</v>
      </c>
      <c r="O85" s="283">
        <f t="shared" si="8"/>
        <v>1564.5030000000002</v>
      </c>
      <c r="P85" s="283">
        <f t="shared" si="8"/>
        <v>1198.4359999999999</v>
      </c>
      <c r="Q85" s="283">
        <f t="shared" si="9"/>
        <v>16796.335999999999</v>
      </c>
      <c r="R85" s="283">
        <f t="shared" si="10"/>
        <v>17994.772000000001</v>
      </c>
      <c r="S85" s="283">
        <f t="shared" si="11"/>
        <v>18826.261999999999</v>
      </c>
      <c r="U85" s="498"/>
    </row>
    <row r="86" spans="1:21" ht="24.95" customHeight="1">
      <c r="A86" s="284" t="s">
        <v>140</v>
      </c>
      <c r="B86" s="285" t="s">
        <v>555</v>
      </c>
      <c r="C86" s="286" t="s">
        <v>289</v>
      </c>
      <c r="D86" s="279">
        <v>67359</v>
      </c>
      <c r="E86" s="279">
        <v>2125</v>
      </c>
      <c r="F86" s="279">
        <v>11996</v>
      </c>
      <c r="G86" s="279">
        <v>2360</v>
      </c>
      <c r="H86" s="279">
        <v>37358</v>
      </c>
      <c r="I86" s="279">
        <v>13520</v>
      </c>
      <c r="J86" s="279">
        <f t="shared" si="6"/>
        <v>51714</v>
      </c>
      <c r="K86" s="470">
        <v>5.4000000000000006E-2</v>
      </c>
      <c r="L86" s="470">
        <v>0.192</v>
      </c>
      <c r="M86" s="471">
        <v>0.155</v>
      </c>
      <c r="N86" s="282">
        <f t="shared" si="7"/>
        <v>114.75000000000001</v>
      </c>
      <c r="O86" s="283">
        <f t="shared" si="8"/>
        <v>647.78400000000011</v>
      </c>
      <c r="P86" s="283">
        <f t="shared" si="8"/>
        <v>453.12</v>
      </c>
      <c r="Q86" s="283">
        <f t="shared" si="9"/>
        <v>7172.7359999999999</v>
      </c>
      <c r="R86" s="283">
        <f t="shared" si="10"/>
        <v>7625.8559999999998</v>
      </c>
      <c r="S86" s="283">
        <f t="shared" si="11"/>
        <v>8015.67</v>
      </c>
      <c r="U86" s="498"/>
    </row>
    <row r="87" spans="1:21" ht="24.95" customHeight="1">
      <c r="A87" s="284" t="s">
        <v>101</v>
      </c>
      <c r="B87" s="285" t="s">
        <v>18</v>
      </c>
      <c r="C87" s="286" t="s">
        <v>289</v>
      </c>
      <c r="D87" s="279">
        <v>64633</v>
      </c>
      <c r="E87" s="279">
        <v>2448</v>
      </c>
      <c r="F87" s="279">
        <v>13454</v>
      </c>
      <c r="G87" s="279">
        <v>2642</v>
      </c>
      <c r="H87" s="279">
        <v>35379</v>
      </c>
      <c r="I87" s="279">
        <v>10710</v>
      </c>
      <c r="J87" s="279">
        <f t="shared" si="6"/>
        <v>51475</v>
      </c>
      <c r="K87" s="470">
        <v>7.0000000000000007E-2</v>
      </c>
      <c r="L87" s="470">
        <v>0.25900000000000001</v>
      </c>
      <c r="M87" s="471">
        <v>0.20300000000000001</v>
      </c>
      <c r="N87" s="282">
        <f t="shared" si="7"/>
        <v>171.36</v>
      </c>
      <c r="O87" s="283">
        <f t="shared" si="8"/>
        <v>941.78000000000009</v>
      </c>
      <c r="P87" s="283">
        <f t="shared" si="8"/>
        <v>684.27800000000002</v>
      </c>
      <c r="Q87" s="283">
        <f t="shared" si="9"/>
        <v>9163.1610000000001</v>
      </c>
      <c r="R87" s="283">
        <f t="shared" si="10"/>
        <v>9847.4390000000003</v>
      </c>
      <c r="S87" s="283">
        <f t="shared" si="11"/>
        <v>10449.425000000001</v>
      </c>
      <c r="U87" s="498"/>
    </row>
    <row r="88" spans="1:21" ht="24.95" customHeight="1">
      <c r="A88" s="284" t="s">
        <v>102</v>
      </c>
      <c r="B88" s="285" t="s">
        <v>18</v>
      </c>
      <c r="C88" s="286" t="s">
        <v>289</v>
      </c>
      <c r="D88" s="279">
        <v>35536</v>
      </c>
      <c r="E88" s="279">
        <v>1309</v>
      </c>
      <c r="F88" s="279">
        <v>7056</v>
      </c>
      <c r="G88" s="279">
        <v>1396</v>
      </c>
      <c r="H88" s="279">
        <v>19777</v>
      </c>
      <c r="I88" s="279">
        <v>5998</v>
      </c>
      <c r="J88" s="279">
        <f t="shared" si="6"/>
        <v>28229</v>
      </c>
      <c r="K88" s="470">
        <v>0.05</v>
      </c>
      <c r="L88" s="470">
        <v>0.21199999999999999</v>
      </c>
      <c r="M88" s="471">
        <v>0.16300000000000001</v>
      </c>
      <c r="N88" s="282">
        <f t="shared" si="7"/>
        <v>65.45</v>
      </c>
      <c r="O88" s="283">
        <f t="shared" si="8"/>
        <v>352.8</v>
      </c>
      <c r="P88" s="283">
        <f t="shared" si="8"/>
        <v>295.952</v>
      </c>
      <c r="Q88" s="283">
        <f t="shared" si="9"/>
        <v>4192.7240000000002</v>
      </c>
      <c r="R88" s="283">
        <f t="shared" si="10"/>
        <v>4488.6760000000004</v>
      </c>
      <c r="S88" s="283">
        <f t="shared" si="11"/>
        <v>4601.3270000000002</v>
      </c>
      <c r="U88" s="498"/>
    </row>
    <row r="89" spans="1:21" ht="24.95" customHeight="1">
      <c r="A89" s="284" t="s">
        <v>61</v>
      </c>
      <c r="B89" s="285" t="s">
        <v>14</v>
      </c>
      <c r="C89" s="286" t="s">
        <v>289</v>
      </c>
      <c r="D89" s="279">
        <v>61506</v>
      </c>
      <c r="E89" s="279">
        <v>1986</v>
      </c>
      <c r="F89" s="279">
        <v>11069</v>
      </c>
      <c r="G89" s="279">
        <v>2303</v>
      </c>
      <c r="H89" s="279">
        <v>35016</v>
      </c>
      <c r="I89" s="279">
        <v>11132</v>
      </c>
      <c r="J89" s="279">
        <f t="shared" si="6"/>
        <v>48388</v>
      </c>
      <c r="K89" s="470">
        <v>5.2999999999999999E-2</v>
      </c>
      <c r="L89" s="470">
        <v>0.183</v>
      </c>
      <c r="M89" s="471">
        <v>0.14699999999999999</v>
      </c>
      <c r="N89" s="282">
        <f t="shared" si="7"/>
        <v>105.258</v>
      </c>
      <c r="O89" s="283">
        <f t="shared" si="8"/>
        <v>586.65700000000004</v>
      </c>
      <c r="P89" s="283">
        <f t="shared" si="8"/>
        <v>421.44900000000001</v>
      </c>
      <c r="Q89" s="283">
        <f t="shared" si="9"/>
        <v>6407.9279999999999</v>
      </c>
      <c r="R89" s="283">
        <f t="shared" si="10"/>
        <v>6829.3769999999995</v>
      </c>
      <c r="S89" s="283">
        <f t="shared" si="11"/>
        <v>7113.0359999999991</v>
      </c>
      <c r="U89" s="498"/>
    </row>
    <row r="90" spans="1:21" ht="24.95" customHeight="1">
      <c r="A90" s="284" t="s">
        <v>68</v>
      </c>
      <c r="B90" s="285" t="s">
        <v>14</v>
      </c>
      <c r="C90" s="286" t="s">
        <v>288</v>
      </c>
      <c r="D90" s="279">
        <v>46786</v>
      </c>
      <c r="E90" s="279">
        <v>1275</v>
      </c>
      <c r="F90" s="279">
        <v>7657</v>
      </c>
      <c r="G90" s="279">
        <v>1542</v>
      </c>
      <c r="H90" s="279">
        <v>27381</v>
      </c>
      <c r="I90" s="279">
        <v>8931</v>
      </c>
      <c r="J90" s="279">
        <f t="shared" si="6"/>
        <v>36580</v>
      </c>
      <c r="K90" s="470">
        <v>5.0999999999999997E-2</v>
      </c>
      <c r="L90" s="470">
        <v>0.17699999999999999</v>
      </c>
      <c r="M90" s="471">
        <v>0.14499999999999999</v>
      </c>
      <c r="N90" s="282">
        <f t="shared" si="7"/>
        <v>65.024999999999991</v>
      </c>
      <c r="O90" s="283">
        <f t="shared" si="8"/>
        <v>390.50699999999995</v>
      </c>
      <c r="P90" s="283">
        <f t="shared" si="8"/>
        <v>272.93399999999997</v>
      </c>
      <c r="Q90" s="283">
        <f t="shared" si="9"/>
        <v>4846.4369999999999</v>
      </c>
      <c r="R90" s="283">
        <f t="shared" si="10"/>
        <v>5119.3710000000001</v>
      </c>
      <c r="S90" s="283">
        <f t="shared" si="11"/>
        <v>5304.0999999999995</v>
      </c>
      <c r="U90" s="498"/>
    </row>
    <row r="91" spans="1:21" ht="24.95" customHeight="1">
      <c r="A91" s="284" t="s">
        <v>112</v>
      </c>
      <c r="B91" s="285" t="s">
        <v>20</v>
      </c>
      <c r="C91" s="286" t="s">
        <v>289</v>
      </c>
      <c r="D91" s="279">
        <v>73834</v>
      </c>
      <c r="E91" s="279">
        <v>2245</v>
      </c>
      <c r="F91" s="279">
        <v>13523</v>
      </c>
      <c r="G91" s="279">
        <v>3080</v>
      </c>
      <c r="H91" s="279">
        <v>40987</v>
      </c>
      <c r="I91" s="279">
        <v>13999</v>
      </c>
      <c r="J91" s="279">
        <f t="shared" si="6"/>
        <v>57590</v>
      </c>
      <c r="K91" s="470">
        <v>7.2000000000000008E-2</v>
      </c>
      <c r="L91" s="470">
        <v>0.22899999999999998</v>
      </c>
      <c r="M91" s="471">
        <v>0.18600000000000003</v>
      </c>
      <c r="N91" s="282">
        <f t="shared" si="7"/>
        <v>161.64000000000001</v>
      </c>
      <c r="O91" s="283">
        <f t="shared" si="8"/>
        <v>973.65600000000006</v>
      </c>
      <c r="P91" s="283">
        <f t="shared" si="8"/>
        <v>705.31999999999994</v>
      </c>
      <c r="Q91" s="283">
        <f t="shared" si="9"/>
        <v>9386.0229999999992</v>
      </c>
      <c r="R91" s="283">
        <f t="shared" si="10"/>
        <v>10091.342999999999</v>
      </c>
      <c r="S91" s="283">
        <f t="shared" si="11"/>
        <v>10711.740000000002</v>
      </c>
      <c r="U91" s="498"/>
    </row>
    <row r="92" spans="1:21" ht="24.95" customHeight="1">
      <c r="A92" s="284" t="s">
        <v>141</v>
      </c>
      <c r="B92" s="285" t="s">
        <v>555</v>
      </c>
      <c r="C92" s="286" t="s">
        <v>289</v>
      </c>
      <c r="D92" s="279">
        <v>15142</v>
      </c>
      <c r="E92" s="279">
        <v>638</v>
      </c>
      <c r="F92" s="279">
        <v>2906</v>
      </c>
      <c r="G92" s="279">
        <v>515</v>
      </c>
      <c r="H92" s="279">
        <v>8254</v>
      </c>
      <c r="I92" s="279">
        <v>2829</v>
      </c>
      <c r="J92" s="279">
        <f t="shared" si="6"/>
        <v>11675</v>
      </c>
      <c r="K92" s="470">
        <v>8.6999999999999994E-2</v>
      </c>
      <c r="L92" s="470">
        <v>0.253</v>
      </c>
      <c r="M92" s="471">
        <v>0.20699999999999999</v>
      </c>
      <c r="N92" s="282">
        <f t="shared" si="7"/>
        <v>55.505999999999993</v>
      </c>
      <c r="O92" s="283">
        <f t="shared" si="8"/>
        <v>252.82199999999997</v>
      </c>
      <c r="P92" s="283">
        <f t="shared" si="8"/>
        <v>130.29499999999999</v>
      </c>
      <c r="Q92" s="283">
        <f t="shared" si="9"/>
        <v>2088.2620000000002</v>
      </c>
      <c r="R92" s="283">
        <f t="shared" si="10"/>
        <v>2218.5570000000002</v>
      </c>
      <c r="S92" s="283">
        <f t="shared" si="11"/>
        <v>2416.7249999999999</v>
      </c>
      <c r="U92" s="498"/>
    </row>
    <row r="93" spans="1:21" ht="24.95" customHeight="1">
      <c r="A93" s="284" t="s">
        <v>142</v>
      </c>
      <c r="B93" s="285" t="s">
        <v>555</v>
      </c>
      <c r="C93" s="286" t="s">
        <v>289</v>
      </c>
      <c r="D93" s="279">
        <v>34047</v>
      </c>
      <c r="E93" s="279">
        <v>907</v>
      </c>
      <c r="F93" s="279">
        <v>4769</v>
      </c>
      <c r="G93" s="279">
        <v>1348</v>
      </c>
      <c r="H93" s="279">
        <v>16834</v>
      </c>
      <c r="I93" s="279">
        <v>10189</v>
      </c>
      <c r="J93" s="279">
        <f t="shared" si="6"/>
        <v>22951</v>
      </c>
      <c r="K93" s="470">
        <v>6.6000000000000003E-2</v>
      </c>
      <c r="L93" s="470">
        <v>0.19399999999999998</v>
      </c>
      <c r="M93" s="471">
        <v>0.16399999999999998</v>
      </c>
      <c r="N93" s="282">
        <f t="shared" si="7"/>
        <v>59.862000000000002</v>
      </c>
      <c r="O93" s="283">
        <f t="shared" si="8"/>
        <v>314.75400000000002</v>
      </c>
      <c r="P93" s="283">
        <f t="shared" si="8"/>
        <v>261.51199999999994</v>
      </c>
      <c r="Q93" s="283">
        <f t="shared" si="9"/>
        <v>3265.7959999999998</v>
      </c>
      <c r="R93" s="283">
        <f t="shared" si="10"/>
        <v>3527.308</v>
      </c>
      <c r="S93" s="283">
        <f t="shared" si="11"/>
        <v>3763.9639999999995</v>
      </c>
      <c r="U93" s="498"/>
    </row>
    <row r="94" spans="1:21" ht="24.95" customHeight="1">
      <c r="A94" s="284" t="s">
        <v>91</v>
      </c>
      <c r="B94" s="285" t="s">
        <v>482</v>
      </c>
      <c r="C94" s="286" t="s">
        <v>289</v>
      </c>
      <c r="D94" s="279">
        <v>4141</v>
      </c>
      <c r="E94" s="279">
        <v>123</v>
      </c>
      <c r="F94" s="279">
        <v>642</v>
      </c>
      <c r="G94" s="279">
        <v>106</v>
      </c>
      <c r="H94" s="279">
        <v>2474</v>
      </c>
      <c r="I94" s="279">
        <v>796</v>
      </c>
      <c r="J94" s="279">
        <f t="shared" si="6"/>
        <v>3222</v>
      </c>
      <c r="K94" s="470">
        <v>9.9000000000000005E-2</v>
      </c>
      <c r="L94" s="470">
        <v>0.27100000000000002</v>
      </c>
      <c r="M94" s="471">
        <v>0.22600000000000001</v>
      </c>
      <c r="N94" s="282">
        <f t="shared" si="7"/>
        <v>12.177000000000001</v>
      </c>
      <c r="O94" s="283">
        <f t="shared" si="8"/>
        <v>63.558</v>
      </c>
      <c r="P94" s="283">
        <f t="shared" si="8"/>
        <v>28.726000000000003</v>
      </c>
      <c r="Q94" s="283">
        <f t="shared" si="9"/>
        <v>670.45400000000006</v>
      </c>
      <c r="R94" s="283">
        <f t="shared" si="10"/>
        <v>699.18000000000006</v>
      </c>
      <c r="S94" s="283">
        <f t="shared" si="11"/>
        <v>728.17200000000003</v>
      </c>
      <c r="U94" s="498"/>
    </row>
    <row r="95" spans="1:21" ht="24.95" customHeight="1">
      <c r="A95" s="284" t="s">
        <v>62</v>
      </c>
      <c r="B95" s="285" t="s">
        <v>14</v>
      </c>
      <c r="C95" s="286" t="s">
        <v>288</v>
      </c>
      <c r="D95" s="279">
        <v>225160</v>
      </c>
      <c r="E95" s="279">
        <v>7850</v>
      </c>
      <c r="F95" s="279">
        <v>51502</v>
      </c>
      <c r="G95" s="279">
        <v>10059</v>
      </c>
      <c r="H95" s="279">
        <v>128720</v>
      </c>
      <c r="I95" s="279">
        <v>27029</v>
      </c>
      <c r="J95" s="279">
        <f t="shared" si="6"/>
        <v>190281</v>
      </c>
      <c r="K95" s="470">
        <v>5.5E-2</v>
      </c>
      <c r="L95" s="470">
        <v>0.17100000000000001</v>
      </c>
      <c r="M95" s="471">
        <v>0.13200000000000001</v>
      </c>
      <c r="N95" s="282">
        <f t="shared" si="7"/>
        <v>431.75</v>
      </c>
      <c r="O95" s="283">
        <f t="shared" si="8"/>
        <v>2832.61</v>
      </c>
      <c r="P95" s="283">
        <f t="shared" si="8"/>
        <v>1720.0890000000002</v>
      </c>
      <c r="Q95" s="283">
        <f t="shared" si="9"/>
        <v>22011.120000000003</v>
      </c>
      <c r="R95" s="283">
        <f t="shared" si="10"/>
        <v>23731.209000000003</v>
      </c>
      <c r="S95" s="283">
        <f t="shared" si="11"/>
        <v>25117.092000000001</v>
      </c>
      <c r="U95" s="498"/>
    </row>
    <row r="96" spans="1:21" ht="24.95" customHeight="1">
      <c r="A96" s="284" t="s">
        <v>63</v>
      </c>
      <c r="B96" s="285" t="s">
        <v>14</v>
      </c>
      <c r="C96" s="286" t="s">
        <v>289</v>
      </c>
      <c r="D96" s="279">
        <v>44978</v>
      </c>
      <c r="E96" s="279">
        <v>1645</v>
      </c>
      <c r="F96" s="279">
        <v>9067</v>
      </c>
      <c r="G96" s="279">
        <v>1740</v>
      </c>
      <c r="H96" s="279">
        <v>24914</v>
      </c>
      <c r="I96" s="279">
        <v>7612</v>
      </c>
      <c r="J96" s="279">
        <f t="shared" si="6"/>
        <v>35721</v>
      </c>
      <c r="K96" s="470">
        <v>0.05</v>
      </c>
      <c r="L96" s="470">
        <v>0.20199999999999999</v>
      </c>
      <c r="M96" s="471">
        <v>0.159</v>
      </c>
      <c r="N96" s="282">
        <f t="shared" si="7"/>
        <v>82.25</v>
      </c>
      <c r="O96" s="283">
        <f t="shared" si="8"/>
        <v>453.35</v>
      </c>
      <c r="P96" s="283">
        <f t="shared" si="8"/>
        <v>351.47999999999996</v>
      </c>
      <c r="Q96" s="283">
        <f t="shared" si="9"/>
        <v>5032.6279999999997</v>
      </c>
      <c r="R96" s="283">
        <f t="shared" si="10"/>
        <v>5384.1079999999993</v>
      </c>
      <c r="S96" s="283">
        <f t="shared" si="11"/>
        <v>5679.6390000000001</v>
      </c>
      <c r="U96" s="498"/>
    </row>
    <row r="97" spans="1:21" ht="24.95" customHeight="1">
      <c r="A97" s="284" t="s">
        <v>49</v>
      </c>
      <c r="B97" s="285" t="s">
        <v>13</v>
      </c>
      <c r="C97" s="286" t="s">
        <v>288</v>
      </c>
      <c r="D97" s="279">
        <v>1025434</v>
      </c>
      <c r="E97" s="279">
        <v>37669</v>
      </c>
      <c r="F97" s="279">
        <v>212675</v>
      </c>
      <c r="G97" s="279">
        <v>41630</v>
      </c>
      <c r="H97" s="279">
        <v>623031</v>
      </c>
      <c r="I97" s="279">
        <v>110429</v>
      </c>
      <c r="J97" s="279">
        <f t="shared" si="6"/>
        <v>877336</v>
      </c>
      <c r="K97" s="470">
        <v>5.2000000000000005E-2</v>
      </c>
      <c r="L97" s="470">
        <v>0.14899999999999999</v>
      </c>
      <c r="M97" s="471">
        <v>0.12</v>
      </c>
      <c r="N97" s="282">
        <f t="shared" si="7"/>
        <v>1958.7880000000002</v>
      </c>
      <c r="O97" s="283">
        <f t="shared" si="8"/>
        <v>11059.1</v>
      </c>
      <c r="P97" s="283">
        <f t="shared" si="8"/>
        <v>6202.87</v>
      </c>
      <c r="Q97" s="283">
        <f t="shared" si="9"/>
        <v>92831.618999999992</v>
      </c>
      <c r="R97" s="283">
        <f t="shared" si="10"/>
        <v>99034.488999999987</v>
      </c>
      <c r="S97" s="283">
        <f t="shared" si="11"/>
        <v>105280.31999999999</v>
      </c>
      <c r="U97" s="498"/>
    </row>
    <row r="98" spans="1:21" ht="24.95" customHeight="1">
      <c r="A98" s="276" t="s">
        <v>64</v>
      </c>
      <c r="B98" s="277" t="s">
        <v>14</v>
      </c>
      <c r="C98" s="278" t="s">
        <v>289</v>
      </c>
      <c r="D98" s="279">
        <v>20514</v>
      </c>
      <c r="E98" s="279">
        <v>575</v>
      </c>
      <c r="F98" s="279">
        <v>3257</v>
      </c>
      <c r="G98" s="279">
        <v>564</v>
      </c>
      <c r="H98" s="279">
        <v>11455</v>
      </c>
      <c r="I98" s="279">
        <v>4663</v>
      </c>
      <c r="J98" s="279">
        <f t="shared" si="6"/>
        <v>15276</v>
      </c>
      <c r="K98" s="470">
        <v>7.0000000000000007E-2</v>
      </c>
      <c r="L98" s="470">
        <v>0.214</v>
      </c>
      <c r="M98" s="471">
        <v>0.17800000000000002</v>
      </c>
      <c r="N98" s="282">
        <f t="shared" si="7"/>
        <v>40.250000000000007</v>
      </c>
      <c r="O98" s="283">
        <f t="shared" si="8"/>
        <v>227.99</v>
      </c>
      <c r="P98" s="283">
        <f t="shared" si="8"/>
        <v>120.696</v>
      </c>
      <c r="Q98" s="283">
        <f t="shared" si="9"/>
        <v>2451.37</v>
      </c>
      <c r="R98" s="283">
        <f t="shared" si="10"/>
        <v>2572.0659999999998</v>
      </c>
      <c r="S98" s="283">
        <f t="shared" si="11"/>
        <v>2719.1280000000002</v>
      </c>
      <c r="U98" s="498"/>
    </row>
    <row r="99" spans="1:21" ht="24.95" customHeight="1">
      <c r="A99" s="276" t="s">
        <v>92</v>
      </c>
      <c r="B99" s="277" t="s">
        <v>482</v>
      </c>
      <c r="C99" s="278" t="s">
        <v>289</v>
      </c>
      <c r="D99" s="279">
        <v>12579</v>
      </c>
      <c r="E99" s="279">
        <v>403</v>
      </c>
      <c r="F99" s="279">
        <v>2328</v>
      </c>
      <c r="G99" s="279">
        <v>355</v>
      </c>
      <c r="H99" s="279">
        <v>6719</v>
      </c>
      <c r="I99" s="279">
        <v>2774</v>
      </c>
      <c r="J99" s="279">
        <f t="shared" si="6"/>
        <v>9402</v>
      </c>
      <c r="K99" s="470">
        <v>5.2000000000000005E-2</v>
      </c>
      <c r="L99" s="470">
        <v>0.185</v>
      </c>
      <c r="M99" s="471">
        <v>0.14899999999999999</v>
      </c>
      <c r="N99" s="282">
        <f t="shared" si="7"/>
        <v>20.956000000000003</v>
      </c>
      <c r="O99" s="283">
        <f t="shared" si="8"/>
        <v>121.05600000000001</v>
      </c>
      <c r="P99" s="283">
        <f t="shared" si="8"/>
        <v>65.674999999999997</v>
      </c>
      <c r="Q99" s="283">
        <f t="shared" si="9"/>
        <v>1243.0149999999999</v>
      </c>
      <c r="R99" s="283">
        <f t="shared" si="10"/>
        <v>1308.6899999999998</v>
      </c>
      <c r="S99" s="283">
        <f t="shared" si="11"/>
        <v>1400.8979999999999</v>
      </c>
      <c r="U99" s="498"/>
    </row>
    <row r="100" spans="1:21" ht="24.95" customHeight="1">
      <c r="A100" s="276" t="s">
        <v>143</v>
      </c>
      <c r="B100" s="277" t="s">
        <v>555</v>
      </c>
      <c r="C100" s="278" t="s">
        <v>289</v>
      </c>
      <c r="D100" s="279">
        <v>53706</v>
      </c>
      <c r="E100" s="279">
        <v>1047</v>
      </c>
      <c r="F100" s="279">
        <v>5886</v>
      </c>
      <c r="G100" s="279">
        <v>8516</v>
      </c>
      <c r="H100" s="279">
        <v>29913</v>
      </c>
      <c r="I100" s="279">
        <v>8344</v>
      </c>
      <c r="J100" s="279">
        <f t="shared" si="6"/>
        <v>44315</v>
      </c>
      <c r="K100" s="470">
        <v>6.0999999999999999E-2</v>
      </c>
      <c r="L100" s="470">
        <v>0.16699999999999998</v>
      </c>
      <c r="M100" s="471">
        <v>0.14800000000000002</v>
      </c>
      <c r="N100" s="282">
        <f t="shared" si="7"/>
        <v>63.866999999999997</v>
      </c>
      <c r="O100" s="283">
        <f t="shared" si="8"/>
        <v>359.04599999999999</v>
      </c>
      <c r="P100" s="283">
        <f t="shared" si="8"/>
        <v>1422.1719999999998</v>
      </c>
      <c r="Q100" s="283">
        <f t="shared" si="9"/>
        <v>4995.4709999999995</v>
      </c>
      <c r="R100" s="283">
        <f t="shared" si="10"/>
        <v>6417.6429999999991</v>
      </c>
      <c r="S100" s="283">
        <f t="shared" si="11"/>
        <v>6558.6200000000008</v>
      </c>
      <c r="U100" s="498"/>
    </row>
    <row r="101" spans="1:21" ht="24.95" customHeight="1">
      <c r="A101" s="276" t="s">
        <v>103</v>
      </c>
      <c r="B101" s="277" t="s">
        <v>18</v>
      </c>
      <c r="C101" s="278" t="s">
        <v>288</v>
      </c>
      <c r="D101" s="279">
        <v>126174</v>
      </c>
      <c r="E101" s="279">
        <v>4964</v>
      </c>
      <c r="F101" s="279">
        <v>25873</v>
      </c>
      <c r="G101" s="279">
        <v>5029</v>
      </c>
      <c r="H101" s="279">
        <v>71159</v>
      </c>
      <c r="I101" s="279">
        <v>19149</v>
      </c>
      <c r="J101" s="279">
        <f t="shared" si="6"/>
        <v>102061</v>
      </c>
      <c r="K101" s="470">
        <v>5.7000000000000002E-2</v>
      </c>
      <c r="L101" s="470">
        <v>0.21199999999999999</v>
      </c>
      <c r="M101" s="471">
        <v>0.16699999999999998</v>
      </c>
      <c r="N101" s="282">
        <f t="shared" si="7"/>
        <v>282.94800000000004</v>
      </c>
      <c r="O101" s="283">
        <f t="shared" si="8"/>
        <v>1474.761</v>
      </c>
      <c r="P101" s="283">
        <f t="shared" si="8"/>
        <v>1066.1479999999999</v>
      </c>
      <c r="Q101" s="283">
        <f t="shared" si="9"/>
        <v>15085.707999999999</v>
      </c>
      <c r="R101" s="283">
        <f t="shared" si="10"/>
        <v>16151.855999999998</v>
      </c>
      <c r="S101" s="283">
        <f t="shared" si="11"/>
        <v>17044.186999999998</v>
      </c>
      <c r="U101" s="498"/>
    </row>
    <row r="102" spans="1:21" ht="24.95" customHeight="1">
      <c r="A102" s="276" t="s">
        <v>144</v>
      </c>
      <c r="B102" s="277" t="s">
        <v>555</v>
      </c>
      <c r="C102" s="278" t="s">
        <v>289</v>
      </c>
      <c r="D102" s="279">
        <v>70116</v>
      </c>
      <c r="E102" s="279">
        <v>2063</v>
      </c>
      <c r="F102" s="279">
        <v>12384</v>
      </c>
      <c r="G102" s="279">
        <v>2431</v>
      </c>
      <c r="H102" s="279">
        <v>39106</v>
      </c>
      <c r="I102" s="279">
        <v>14132</v>
      </c>
      <c r="J102" s="279">
        <f t="shared" si="6"/>
        <v>53921</v>
      </c>
      <c r="K102" s="470">
        <v>5.7999999999999996E-2</v>
      </c>
      <c r="L102" s="470">
        <v>0.22500000000000001</v>
      </c>
      <c r="M102" s="471">
        <v>0.18100000000000002</v>
      </c>
      <c r="N102" s="282">
        <f t="shared" si="7"/>
        <v>119.654</v>
      </c>
      <c r="O102" s="283">
        <f t="shared" si="8"/>
        <v>718.27199999999993</v>
      </c>
      <c r="P102" s="283">
        <f t="shared" si="8"/>
        <v>546.97500000000002</v>
      </c>
      <c r="Q102" s="283">
        <f t="shared" si="9"/>
        <v>8798.85</v>
      </c>
      <c r="R102" s="283">
        <f t="shared" si="10"/>
        <v>9345.8250000000007</v>
      </c>
      <c r="S102" s="283">
        <f t="shared" si="11"/>
        <v>9759.7010000000009</v>
      </c>
      <c r="U102" s="498"/>
    </row>
    <row r="103" spans="1:21" ht="24.95" customHeight="1">
      <c r="A103" s="276" t="s">
        <v>104</v>
      </c>
      <c r="B103" s="277" t="s">
        <v>18</v>
      </c>
      <c r="C103" s="278" t="s">
        <v>289</v>
      </c>
      <c r="D103" s="279">
        <v>82066</v>
      </c>
      <c r="E103" s="279">
        <v>2799</v>
      </c>
      <c r="F103" s="279">
        <v>16218</v>
      </c>
      <c r="G103" s="279">
        <v>3016</v>
      </c>
      <c r="H103" s="279">
        <v>46317</v>
      </c>
      <c r="I103" s="279">
        <v>13716</v>
      </c>
      <c r="J103" s="279">
        <f t="shared" si="6"/>
        <v>65551</v>
      </c>
      <c r="K103" s="470">
        <v>5.7000000000000002E-2</v>
      </c>
      <c r="L103" s="470">
        <v>0.22899999999999998</v>
      </c>
      <c r="M103" s="471">
        <v>0.18</v>
      </c>
      <c r="N103" s="282">
        <f t="shared" si="7"/>
        <v>159.54300000000001</v>
      </c>
      <c r="O103" s="283">
        <f t="shared" si="8"/>
        <v>924.42600000000004</v>
      </c>
      <c r="P103" s="283">
        <f t="shared" si="8"/>
        <v>690.66399999999999</v>
      </c>
      <c r="Q103" s="283">
        <f t="shared" si="9"/>
        <v>10606.592999999999</v>
      </c>
      <c r="R103" s="283">
        <f t="shared" si="10"/>
        <v>11297.257</v>
      </c>
      <c r="S103" s="283">
        <f t="shared" si="11"/>
        <v>11799.18</v>
      </c>
      <c r="U103" s="498"/>
    </row>
    <row r="104" spans="1:21" ht="24.95" customHeight="1">
      <c r="A104" s="276" t="s">
        <v>113</v>
      </c>
      <c r="B104" s="277" t="s">
        <v>20</v>
      </c>
      <c r="C104" s="278" t="s">
        <v>288</v>
      </c>
      <c r="D104" s="279">
        <v>37457</v>
      </c>
      <c r="E104" s="279">
        <v>1147</v>
      </c>
      <c r="F104" s="279">
        <v>6804</v>
      </c>
      <c r="G104" s="279">
        <v>1402</v>
      </c>
      <c r="H104" s="279">
        <v>21117</v>
      </c>
      <c r="I104" s="279">
        <v>6987</v>
      </c>
      <c r="J104" s="279">
        <f t="shared" si="6"/>
        <v>29323</v>
      </c>
      <c r="K104" s="470">
        <v>6.7000000000000004E-2</v>
      </c>
      <c r="L104" s="470">
        <v>0.20399999999999999</v>
      </c>
      <c r="M104" s="471">
        <v>0.16699999999999998</v>
      </c>
      <c r="N104" s="282">
        <f t="shared" si="7"/>
        <v>76.849000000000004</v>
      </c>
      <c r="O104" s="283">
        <f t="shared" si="8"/>
        <v>455.86800000000005</v>
      </c>
      <c r="P104" s="283">
        <f t="shared" si="8"/>
        <v>286.00799999999998</v>
      </c>
      <c r="Q104" s="283">
        <f t="shared" si="9"/>
        <v>4307.8679999999995</v>
      </c>
      <c r="R104" s="283">
        <f t="shared" si="10"/>
        <v>4593.8759999999993</v>
      </c>
      <c r="S104" s="283">
        <f t="shared" si="11"/>
        <v>4896.9409999999998</v>
      </c>
      <c r="U104" s="498"/>
    </row>
    <row r="105" spans="1:21" ht="24.95" customHeight="1">
      <c r="A105" s="276" t="s">
        <v>145</v>
      </c>
      <c r="B105" s="277" t="s">
        <v>555</v>
      </c>
      <c r="C105" s="278" t="s">
        <v>289</v>
      </c>
      <c r="D105" s="279">
        <v>17921</v>
      </c>
      <c r="E105" s="279">
        <v>523</v>
      </c>
      <c r="F105" s="279">
        <v>2811</v>
      </c>
      <c r="G105" s="279">
        <v>545</v>
      </c>
      <c r="H105" s="279">
        <v>9754</v>
      </c>
      <c r="I105" s="279">
        <v>4288</v>
      </c>
      <c r="J105" s="279">
        <f t="shared" si="6"/>
        <v>13110</v>
      </c>
      <c r="K105" s="470">
        <v>7.0999999999999994E-2</v>
      </c>
      <c r="L105" s="470">
        <v>0.19699999999999998</v>
      </c>
      <c r="M105" s="472">
        <v>0.16500000000000001</v>
      </c>
      <c r="N105" s="282">
        <f t="shared" si="7"/>
        <v>37.132999999999996</v>
      </c>
      <c r="O105" s="283">
        <f t="shared" si="8"/>
        <v>199.58099999999999</v>
      </c>
      <c r="P105" s="283">
        <f t="shared" si="8"/>
        <v>107.36499999999999</v>
      </c>
      <c r="Q105" s="283">
        <f t="shared" si="9"/>
        <v>1921.5379999999998</v>
      </c>
      <c r="R105" s="283">
        <f t="shared" si="10"/>
        <v>2028.9029999999998</v>
      </c>
      <c r="S105" s="283">
        <f t="shared" si="11"/>
        <v>2163.15</v>
      </c>
      <c r="U105" s="498"/>
    </row>
    <row r="106" spans="1:21" ht="20.100000000000001" customHeight="1">
      <c r="D106" s="290"/>
      <c r="E106" s="290"/>
      <c r="F106" s="290"/>
      <c r="G106" s="290"/>
      <c r="H106" s="290"/>
      <c r="I106" s="291"/>
      <c r="J106" s="291"/>
      <c r="K106" s="473"/>
      <c r="L106" s="473"/>
      <c r="M106" s="474"/>
      <c r="N106" s="295"/>
      <c r="O106" s="295"/>
      <c r="P106" s="295"/>
      <c r="Q106" s="295"/>
      <c r="R106" s="295"/>
      <c r="S106" s="290"/>
      <c r="U106" s="498"/>
    </row>
    <row r="107" spans="1:21" ht="24.95" customHeight="1">
      <c r="A107" s="296" t="s">
        <v>291</v>
      </c>
      <c r="B107" s="269"/>
      <c r="C107" s="270"/>
      <c r="D107" s="297">
        <f t="shared" ref="D107:J107" si="12">SUM(D6:D105)</f>
        <v>10157928</v>
      </c>
      <c r="E107" s="297">
        <f t="shared" si="12"/>
        <v>358925</v>
      </c>
      <c r="F107" s="297">
        <f t="shared" si="12"/>
        <v>1947064</v>
      </c>
      <c r="G107" s="297">
        <f t="shared" si="12"/>
        <v>435305</v>
      </c>
      <c r="H107" s="297">
        <f t="shared" si="12"/>
        <v>5858597</v>
      </c>
      <c r="I107" s="297">
        <f t="shared" si="12"/>
        <v>1558037</v>
      </c>
      <c r="J107" s="297">
        <f t="shared" si="12"/>
        <v>8240966</v>
      </c>
      <c r="K107" s="468">
        <v>5.5E-2</v>
      </c>
      <c r="L107" s="468">
        <v>0.189</v>
      </c>
      <c r="M107" s="468">
        <v>0.152</v>
      </c>
      <c r="N107" s="275">
        <f t="shared" ref="N107:S107" si="13">SUM(N6:N105)</f>
        <v>19749.034</v>
      </c>
      <c r="O107" s="275">
        <f t="shared" si="13"/>
        <v>107892.69299999997</v>
      </c>
      <c r="P107" s="275">
        <f t="shared" si="13"/>
        <v>81651.628000000026</v>
      </c>
      <c r="Q107" s="275">
        <f t="shared" si="13"/>
        <v>1105491.2709999999</v>
      </c>
      <c r="R107" s="275">
        <f t="shared" si="13"/>
        <v>1187142.8989999997</v>
      </c>
      <c r="S107" s="297">
        <f t="shared" si="13"/>
        <v>1248532.2830000005</v>
      </c>
      <c r="U107" s="499"/>
    </row>
    <row r="108" spans="1:21">
      <c r="N108" s="301">
        <f>N107/E107</f>
        <v>5.5022731768475309E-2</v>
      </c>
      <c r="O108" s="301">
        <f>O107/F107</f>
        <v>5.5413018267504291E-2</v>
      </c>
      <c r="P108" s="301">
        <f>P107/G107</f>
        <v>0.18757337498994964</v>
      </c>
      <c r="Q108" s="301">
        <f>Q107/H107</f>
        <v>0.18869556499619278</v>
      </c>
      <c r="R108" s="301">
        <f>R107/SUM(G107:H107)</f>
        <v>0.18861795099447048</v>
      </c>
      <c r="S108" s="301">
        <f>S107/J107</f>
        <v>0.15150314696116943</v>
      </c>
      <c r="U108" s="301"/>
    </row>
    <row r="109" spans="1:21" ht="20.100000000000001" customHeight="1">
      <c r="A109" s="246" t="s">
        <v>539</v>
      </c>
    </row>
    <row r="110" spans="1:21" ht="39.950000000000003" customHeight="1">
      <c r="A110" s="526" t="s">
        <v>540</v>
      </c>
      <c r="B110" s="526"/>
      <c r="C110" s="526"/>
      <c r="D110" s="526"/>
      <c r="E110" s="526"/>
      <c r="F110" s="526"/>
      <c r="G110" s="526"/>
      <c r="H110" s="526"/>
      <c r="I110" s="526"/>
      <c r="J110" s="526"/>
      <c r="K110" s="526"/>
      <c r="L110" s="526"/>
      <c r="M110" s="526"/>
      <c r="N110" s="526"/>
      <c r="O110" s="526"/>
      <c r="P110" s="526"/>
      <c r="Q110" s="526"/>
      <c r="R110" s="526"/>
      <c r="S110" s="526"/>
    </row>
    <row r="111" spans="1:21" ht="90" customHeight="1">
      <c r="A111" s="524" t="s">
        <v>546</v>
      </c>
      <c r="B111" s="524"/>
      <c r="C111" s="524"/>
      <c r="D111" s="524"/>
      <c r="E111" s="524"/>
      <c r="F111" s="524"/>
      <c r="G111" s="524"/>
      <c r="H111" s="524"/>
      <c r="I111" s="524"/>
      <c r="J111" s="524"/>
      <c r="K111" s="524"/>
      <c r="L111" s="524"/>
      <c r="M111" s="524"/>
      <c r="N111" s="524"/>
      <c r="O111" s="524"/>
      <c r="P111" s="524"/>
      <c r="Q111" s="524"/>
      <c r="R111" s="524"/>
      <c r="S111" s="524"/>
    </row>
  </sheetData>
  <sheetProtection sheet="1" objects="1" scenarios="1"/>
  <autoFilter ref="A5:S107"/>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123"/>
  <sheetViews>
    <sheetView workbookViewId="0">
      <pane ySplit="4" topLeftCell="A5" activePane="bottomLeft" state="frozen"/>
      <selection activeCell="B18" sqref="B18"/>
      <selection pane="bottomLeft" activeCell="G105" sqref="G105"/>
    </sheetView>
  </sheetViews>
  <sheetFormatPr defaultRowHeight="12.75"/>
  <cols>
    <col min="1" max="1" width="46.5703125" style="502" bestFit="1" customWidth="1"/>
    <col min="2" max="2" width="18.7109375" style="504" customWidth="1"/>
    <col min="3" max="4" width="18.7109375" style="502" customWidth="1"/>
    <col min="5" max="5" width="21.42578125" style="502" bestFit="1" customWidth="1"/>
    <col min="6" max="16384" width="9.140625" style="502"/>
  </cols>
  <sheetData>
    <row r="1" spans="1:5" ht="18">
      <c r="A1" s="500" t="s">
        <v>541</v>
      </c>
      <c r="B1" s="501"/>
      <c r="C1" s="501"/>
      <c r="D1" s="501"/>
      <c r="E1" s="501"/>
    </row>
    <row r="2" spans="1:5" ht="30">
      <c r="A2" s="532" t="s">
        <v>542</v>
      </c>
      <c r="B2" s="503"/>
      <c r="C2" s="503"/>
      <c r="D2" s="503"/>
      <c r="E2" s="503"/>
    </row>
    <row r="4" spans="1:5" ht="51">
      <c r="A4" s="458" t="s">
        <v>306</v>
      </c>
      <c r="B4" s="481" t="s">
        <v>487</v>
      </c>
      <c r="C4" s="533" t="s">
        <v>488</v>
      </c>
      <c r="D4" s="481" t="s">
        <v>489</v>
      </c>
      <c r="E4" s="481" t="s">
        <v>490</v>
      </c>
    </row>
    <row r="5" spans="1:5" ht="14.25">
      <c r="A5" s="534" t="s">
        <v>13</v>
      </c>
      <c r="B5" s="535">
        <v>20036.628000000001</v>
      </c>
      <c r="C5" s="535">
        <v>12944.487999999999</v>
      </c>
      <c r="D5" s="535">
        <v>181028.31599999999</v>
      </c>
      <c r="E5" s="535">
        <v>206004.05499999999</v>
      </c>
    </row>
    <row r="6" spans="1:5" ht="14.25">
      <c r="A6" s="536" t="s">
        <v>46</v>
      </c>
      <c r="B6" s="537">
        <v>3568.817</v>
      </c>
      <c r="C6" s="537">
        <v>2623.27</v>
      </c>
      <c r="D6" s="537">
        <v>32256.65</v>
      </c>
      <c r="E6" s="537">
        <v>37253.206000000006</v>
      </c>
    </row>
    <row r="7" spans="1:5" ht="14.25">
      <c r="A7" s="538" t="s">
        <v>47</v>
      </c>
      <c r="B7" s="539">
        <v>2822.0570000000002</v>
      </c>
      <c r="C7" s="539">
        <v>2637.6660000000002</v>
      </c>
      <c r="D7" s="539">
        <v>34064.970000000008</v>
      </c>
      <c r="E7" s="539">
        <v>38492.769</v>
      </c>
    </row>
    <row r="8" spans="1:5" ht="14.25">
      <c r="A8" s="538" t="s">
        <v>48</v>
      </c>
      <c r="B8" s="539">
        <v>2586.654</v>
      </c>
      <c r="C8" s="539">
        <v>1480.682</v>
      </c>
      <c r="D8" s="539">
        <v>21875.077000000001</v>
      </c>
      <c r="E8" s="539">
        <v>24977.760000000002</v>
      </c>
    </row>
    <row r="9" spans="1:5" ht="14.25">
      <c r="A9" s="538" t="s">
        <v>49</v>
      </c>
      <c r="B9" s="539">
        <v>11059.1</v>
      </c>
      <c r="C9" s="539">
        <v>6202.87</v>
      </c>
      <c r="D9" s="539">
        <v>92831.618999999992</v>
      </c>
      <c r="E9" s="539">
        <v>105280.31999999999</v>
      </c>
    </row>
    <row r="10" spans="1:5" ht="14.25">
      <c r="A10" s="307"/>
      <c r="B10" s="541"/>
      <c r="C10" s="541"/>
      <c r="D10" s="541"/>
      <c r="E10" s="541"/>
    </row>
    <row r="11" spans="1:5" ht="14.25">
      <c r="A11" s="534" t="s">
        <v>14</v>
      </c>
      <c r="B11" s="535">
        <v>32002.855000000003</v>
      </c>
      <c r="C11" s="535">
        <v>22782.640000000003</v>
      </c>
      <c r="D11" s="535">
        <v>338504.80900000001</v>
      </c>
      <c r="E11" s="535">
        <v>377365.08500000008</v>
      </c>
    </row>
    <row r="12" spans="1:5" ht="14.25">
      <c r="A12" s="459" t="s">
        <v>50</v>
      </c>
      <c r="B12" s="537">
        <v>1688.5679999999998</v>
      </c>
      <c r="C12" s="537">
        <v>1662.3360000000002</v>
      </c>
      <c r="D12" s="537">
        <v>18685.888000000003</v>
      </c>
      <c r="E12" s="537">
        <v>21116.865000000002</v>
      </c>
    </row>
    <row r="13" spans="1:5" ht="14.25">
      <c r="A13" s="461" t="s">
        <v>51</v>
      </c>
      <c r="B13" s="539">
        <v>2263.768</v>
      </c>
      <c r="C13" s="539">
        <v>1330.76</v>
      </c>
      <c r="D13" s="539">
        <v>19791.740000000002</v>
      </c>
      <c r="E13" s="539">
        <v>22483.056</v>
      </c>
    </row>
    <row r="14" spans="1:5" ht="14.25">
      <c r="A14" s="461" t="s">
        <v>52</v>
      </c>
      <c r="B14" s="539">
        <v>208.15199999999999</v>
      </c>
      <c r="C14" s="539">
        <v>141.27600000000001</v>
      </c>
      <c r="D14" s="539">
        <v>2700.6489999999999</v>
      </c>
      <c r="E14" s="539">
        <v>2913.8360000000002</v>
      </c>
    </row>
    <row r="15" spans="1:5" ht="14.25">
      <c r="A15" s="461" t="s">
        <v>53</v>
      </c>
      <c r="B15" s="539">
        <v>850.79299999999989</v>
      </c>
      <c r="C15" s="539">
        <v>394.44299999999993</v>
      </c>
      <c r="D15" s="539">
        <v>7226.4149999999991</v>
      </c>
      <c r="E15" s="539">
        <v>8211.8850000000002</v>
      </c>
    </row>
    <row r="16" spans="1:5" ht="14.25">
      <c r="A16" s="529" t="s">
        <v>54</v>
      </c>
      <c r="B16" s="542">
        <v>1455.1669999999999</v>
      </c>
      <c r="C16" s="542">
        <v>1150.4799999999998</v>
      </c>
      <c r="D16" s="542">
        <v>18730.956999999999</v>
      </c>
      <c r="E16" s="542">
        <v>20441.71</v>
      </c>
    </row>
    <row r="17" spans="1:5" ht="14.25">
      <c r="A17" s="530" t="s">
        <v>65</v>
      </c>
      <c r="B17" s="543">
        <v>515.90000000000009</v>
      </c>
      <c r="C17" s="543">
        <v>256.108</v>
      </c>
      <c r="D17" s="543">
        <v>4014.1359999999995</v>
      </c>
      <c r="E17" s="543">
        <v>4636.3680000000004</v>
      </c>
    </row>
    <row r="18" spans="1:5" ht="14.25">
      <c r="A18" s="530" t="s">
        <v>66</v>
      </c>
      <c r="B18" s="543">
        <v>3465.6390000000001</v>
      </c>
      <c r="C18" s="543">
        <v>3053.288</v>
      </c>
      <c r="D18" s="543">
        <v>41776.811999999998</v>
      </c>
      <c r="E18" s="543">
        <v>46276.686000000002</v>
      </c>
    </row>
    <row r="19" spans="1:5" ht="14.25">
      <c r="A19" s="530" t="s">
        <v>55</v>
      </c>
      <c r="B19" s="543">
        <v>790.33600000000001</v>
      </c>
      <c r="C19" s="543">
        <v>549.68999999999994</v>
      </c>
      <c r="D19" s="543">
        <v>8168.2619999999988</v>
      </c>
      <c r="E19" s="543">
        <v>9127.4749999999985</v>
      </c>
    </row>
    <row r="20" spans="1:5" ht="14.25">
      <c r="A20" s="530" t="s">
        <v>56</v>
      </c>
      <c r="B20" s="543">
        <v>585.62599999999998</v>
      </c>
      <c r="C20" s="543">
        <v>454.07800000000003</v>
      </c>
      <c r="D20" s="543">
        <v>6220.7440000000006</v>
      </c>
      <c r="E20" s="543">
        <v>6949.0159999999996</v>
      </c>
    </row>
    <row r="21" spans="1:5" ht="14.25">
      <c r="A21" s="530" t="s">
        <v>57</v>
      </c>
      <c r="B21" s="543">
        <v>481.8</v>
      </c>
      <c r="C21" s="543">
        <v>341.43999999999994</v>
      </c>
      <c r="D21" s="543">
        <v>5716.985999999999</v>
      </c>
      <c r="E21" s="543">
        <v>6334.0749999999998</v>
      </c>
    </row>
    <row r="22" spans="1:5" ht="14.25">
      <c r="A22" s="530" t="s">
        <v>105</v>
      </c>
      <c r="B22" s="543">
        <v>11018.332</v>
      </c>
      <c r="C22" s="543">
        <v>6807.5479999999998</v>
      </c>
      <c r="D22" s="543">
        <v>121848.452</v>
      </c>
      <c r="E22" s="543">
        <v>134083.75899999999</v>
      </c>
    </row>
    <row r="23" spans="1:5" ht="14.25">
      <c r="A23" s="530" t="s">
        <v>58</v>
      </c>
      <c r="B23" s="543">
        <v>1351.527</v>
      </c>
      <c r="C23" s="543">
        <v>1758.8160000000003</v>
      </c>
      <c r="D23" s="543">
        <v>12306.528000000002</v>
      </c>
      <c r="E23" s="543">
        <v>14687.826999999999</v>
      </c>
    </row>
    <row r="24" spans="1:5" ht="14.25">
      <c r="A24" s="530" t="s">
        <v>59</v>
      </c>
      <c r="B24" s="543">
        <v>395.69599999999997</v>
      </c>
      <c r="C24" s="543">
        <v>223.21299999999999</v>
      </c>
      <c r="D24" s="543">
        <v>4046.6529999999998</v>
      </c>
      <c r="E24" s="543">
        <v>4514.32</v>
      </c>
    </row>
    <row r="25" spans="1:5" ht="14.25">
      <c r="A25" s="530" t="s">
        <v>67</v>
      </c>
      <c r="B25" s="543">
        <v>875.93400000000008</v>
      </c>
      <c r="C25" s="543">
        <v>574.08000000000004</v>
      </c>
      <c r="D25" s="543">
        <v>9724.768</v>
      </c>
      <c r="E25" s="543">
        <v>10828.949999999999</v>
      </c>
    </row>
    <row r="26" spans="1:5" ht="14.25">
      <c r="A26" s="530" t="s">
        <v>60</v>
      </c>
      <c r="B26" s="543">
        <v>1564.5030000000002</v>
      </c>
      <c r="C26" s="543">
        <v>1198.4359999999999</v>
      </c>
      <c r="D26" s="543">
        <v>16796.335999999999</v>
      </c>
      <c r="E26" s="543">
        <v>18826.261999999999</v>
      </c>
    </row>
    <row r="27" spans="1:5" ht="14.25">
      <c r="A27" s="530" t="s">
        <v>61</v>
      </c>
      <c r="B27" s="543">
        <v>586.65700000000004</v>
      </c>
      <c r="C27" s="543">
        <v>421.44900000000001</v>
      </c>
      <c r="D27" s="543">
        <v>6407.9279999999999</v>
      </c>
      <c r="E27" s="543">
        <v>7113.0359999999991</v>
      </c>
    </row>
    <row r="28" spans="1:5" ht="14.25">
      <c r="A28" s="530" t="s">
        <v>68</v>
      </c>
      <c r="B28" s="543">
        <v>390.50699999999995</v>
      </c>
      <c r="C28" s="543">
        <v>272.93399999999997</v>
      </c>
      <c r="D28" s="543">
        <v>4846.4369999999999</v>
      </c>
      <c r="E28" s="543">
        <v>5304.0999999999995</v>
      </c>
    </row>
    <row r="29" spans="1:5" ht="14.25">
      <c r="A29" s="530" t="s">
        <v>62</v>
      </c>
      <c r="B29" s="543">
        <v>2832.61</v>
      </c>
      <c r="C29" s="543">
        <v>1720.0890000000002</v>
      </c>
      <c r="D29" s="543">
        <v>22011.120000000003</v>
      </c>
      <c r="E29" s="543">
        <v>25117.092000000001</v>
      </c>
    </row>
    <row r="30" spans="1:5" ht="14.25">
      <c r="A30" s="531" t="s">
        <v>63</v>
      </c>
      <c r="B30" s="544">
        <v>453.35</v>
      </c>
      <c r="C30" s="544">
        <v>351.47999999999996</v>
      </c>
      <c r="D30" s="544">
        <v>5032.6279999999997</v>
      </c>
      <c r="E30" s="544">
        <v>5679.6390000000001</v>
      </c>
    </row>
    <row r="31" spans="1:5" ht="14.25">
      <c r="A31" s="461" t="s">
        <v>64</v>
      </c>
      <c r="B31" s="539">
        <v>227.99</v>
      </c>
      <c r="C31" s="539">
        <v>120.696</v>
      </c>
      <c r="D31" s="539">
        <v>2451.37</v>
      </c>
      <c r="E31" s="539">
        <v>2719.1280000000002</v>
      </c>
    </row>
    <row r="32" spans="1:5" ht="14.25">
      <c r="A32" s="307"/>
      <c r="B32" s="541"/>
      <c r="C32" s="541"/>
      <c r="D32" s="541"/>
      <c r="E32" s="541"/>
    </row>
    <row r="33" spans="1:5" ht="14.25">
      <c r="A33" s="534" t="s">
        <v>18</v>
      </c>
      <c r="B33" s="535">
        <v>9891.9140000000007</v>
      </c>
      <c r="C33" s="535">
        <v>8121.6550000000007</v>
      </c>
      <c r="D33" s="535">
        <v>107393.94</v>
      </c>
      <c r="E33" s="535">
        <v>120708.85200000001</v>
      </c>
    </row>
    <row r="34" spans="1:5" ht="14.25">
      <c r="A34" s="459" t="s">
        <v>93</v>
      </c>
      <c r="B34" s="537">
        <v>425.91900000000004</v>
      </c>
      <c r="C34" s="537">
        <v>300.61</v>
      </c>
      <c r="D34" s="537">
        <v>4528.01</v>
      </c>
      <c r="E34" s="537">
        <v>5087.286000000001</v>
      </c>
    </row>
    <row r="35" spans="1:5" ht="14.25">
      <c r="A35" s="461" t="s">
        <v>94</v>
      </c>
      <c r="B35" s="539">
        <v>676.41600000000005</v>
      </c>
      <c r="C35" s="539">
        <v>509.80799999999999</v>
      </c>
      <c r="D35" s="539">
        <v>7430.0640000000003</v>
      </c>
      <c r="E35" s="539">
        <v>8261.5259999999998</v>
      </c>
    </row>
    <row r="36" spans="1:5" ht="14.25">
      <c r="A36" s="461" t="s">
        <v>95</v>
      </c>
      <c r="B36" s="539">
        <v>1054.7650000000001</v>
      </c>
      <c r="C36" s="539">
        <v>714.92</v>
      </c>
      <c r="D36" s="539">
        <v>9789.1299999999992</v>
      </c>
      <c r="E36" s="539">
        <v>11196.088</v>
      </c>
    </row>
    <row r="37" spans="1:5" ht="14.25">
      <c r="A37" s="461" t="s">
        <v>96</v>
      </c>
      <c r="B37" s="539">
        <v>424.90499999999997</v>
      </c>
      <c r="C37" s="539">
        <v>393.63499999999999</v>
      </c>
      <c r="D37" s="539">
        <v>5743.8919999999998</v>
      </c>
      <c r="E37" s="539">
        <v>6338.82</v>
      </c>
    </row>
    <row r="38" spans="1:5" ht="14.25">
      <c r="A38" s="461" t="s">
        <v>97</v>
      </c>
      <c r="B38" s="539">
        <v>307.76900000000001</v>
      </c>
      <c r="C38" s="539">
        <v>187.24600000000001</v>
      </c>
      <c r="D38" s="539">
        <v>3188.453</v>
      </c>
      <c r="E38" s="539">
        <v>3506.6460000000002</v>
      </c>
    </row>
    <row r="39" spans="1:5" ht="14.25">
      <c r="A39" s="461" t="s">
        <v>98</v>
      </c>
      <c r="B39" s="539">
        <v>581.88</v>
      </c>
      <c r="C39" s="539">
        <v>423.12600000000003</v>
      </c>
      <c r="D39" s="539">
        <v>6453.018</v>
      </c>
      <c r="E39" s="539">
        <v>7255.0439999999999</v>
      </c>
    </row>
    <row r="40" spans="1:5" ht="14.25">
      <c r="A40" s="461" t="s">
        <v>99</v>
      </c>
      <c r="B40" s="539">
        <v>924.10799999999995</v>
      </c>
      <c r="C40" s="539">
        <v>671.64</v>
      </c>
      <c r="D40" s="539">
        <v>10368.539000000001</v>
      </c>
      <c r="E40" s="539">
        <v>11494.405999999999</v>
      </c>
    </row>
    <row r="41" spans="1:5" ht="14.25">
      <c r="A41" s="461" t="s">
        <v>100</v>
      </c>
      <c r="B41" s="539">
        <v>1802.385</v>
      </c>
      <c r="C41" s="539">
        <v>2183.6280000000002</v>
      </c>
      <c r="D41" s="539">
        <v>20844.648000000001</v>
      </c>
      <c r="E41" s="539">
        <v>23674.917000000001</v>
      </c>
    </row>
    <row r="42" spans="1:5" ht="14.25">
      <c r="A42" s="461" t="s">
        <v>101</v>
      </c>
      <c r="B42" s="539">
        <v>941.78000000000009</v>
      </c>
      <c r="C42" s="539">
        <v>684.27800000000002</v>
      </c>
      <c r="D42" s="539">
        <v>9163.1610000000001</v>
      </c>
      <c r="E42" s="539">
        <v>10449.425000000001</v>
      </c>
    </row>
    <row r="43" spans="1:5" ht="14.25">
      <c r="A43" s="461" t="s">
        <v>102</v>
      </c>
      <c r="B43" s="539">
        <v>352.8</v>
      </c>
      <c r="C43" s="539">
        <v>295.952</v>
      </c>
      <c r="D43" s="539">
        <v>4192.7240000000002</v>
      </c>
      <c r="E43" s="539">
        <v>4601.3270000000002</v>
      </c>
    </row>
    <row r="44" spans="1:5" ht="14.25">
      <c r="A44" s="461" t="s">
        <v>103</v>
      </c>
      <c r="B44" s="539">
        <v>1474.761</v>
      </c>
      <c r="C44" s="539">
        <v>1066.1479999999999</v>
      </c>
      <c r="D44" s="539">
        <v>15085.707999999999</v>
      </c>
      <c r="E44" s="539">
        <v>17044.186999999998</v>
      </c>
    </row>
    <row r="45" spans="1:5" ht="14.25">
      <c r="A45" s="461" t="s">
        <v>104</v>
      </c>
      <c r="B45" s="539">
        <v>924.42600000000004</v>
      </c>
      <c r="C45" s="539">
        <v>690.66399999999999</v>
      </c>
      <c r="D45" s="539">
        <v>10606.592999999999</v>
      </c>
      <c r="E45" s="539">
        <v>11799.18</v>
      </c>
    </row>
    <row r="46" spans="1:5" ht="14.25">
      <c r="A46" s="307"/>
      <c r="B46" s="541"/>
      <c r="C46" s="541"/>
      <c r="D46" s="541"/>
      <c r="E46" s="541"/>
    </row>
    <row r="47" spans="1:5" ht="14.25">
      <c r="A47" s="534" t="s">
        <v>20</v>
      </c>
      <c r="B47" s="535">
        <v>9831.6160000000018</v>
      </c>
      <c r="C47" s="535">
        <v>7294.262999999999</v>
      </c>
      <c r="D47" s="535">
        <v>102510.57</v>
      </c>
      <c r="E47" s="535">
        <v>115775.163</v>
      </c>
    </row>
    <row r="48" spans="1:5" ht="14.25">
      <c r="A48" s="459" t="s">
        <v>106</v>
      </c>
      <c r="B48" s="537">
        <v>874.83199999999988</v>
      </c>
      <c r="C48" s="537">
        <v>916.02</v>
      </c>
      <c r="D48" s="537">
        <v>10430.91</v>
      </c>
      <c r="E48" s="537">
        <v>11980.66</v>
      </c>
    </row>
    <row r="49" spans="1:5" ht="14.25">
      <c r="A49" s="461" t="s">
        <v>107</v>
      </c>
      <c r="B49" s="539">
        <v>1672.6639999999998</v>
      </c>
      <c r="C49" s="539">
        <v>1181.76</v>
      </c>
      <c r="D49" s="539">
        <v>17107.583999999999</v>
      </c>
      <c r="E49" s="539">
        <v>19269.403999999999</v>
      </c>
    </row>
    <row r="50" spans="1:5" ht="14.25">
      <c r="A50" s="461" t="s">
        <v>108</v>
      </c>
      <c r="B50" s="539">
        <v>836.60199999999998</v>
      </c>
      <c r="C50" s="539">
        <v>767.649</v>
      </c>
      <c r="D50" s="539">
        <v>9813.4110000000001</v>
      </c>
      <c r="E50" s="539">
        <v>10993.347</v>
      </c>
    </row>
    <row r="51" spans="1:5" ht="14.25">
      <c r="A51" s="461" t="s">
        <v>109</v>
      </c>
      <c r="B51" s="539">
        <v>2147.2360000000003</v>
      </c>
      <c r="C51" s="539">
        <v>1635.876</v>
      </c>
      <c r="D51" s="539">
        <v>24438.546000000002</v>
      </c>
      <c r="E51" s="539">
        <v>27331.155999999999</v>
      </c>
    </row>
    <row r="52" spans="1:5" ht="14.25">
      <c r="A52" s="461" t="s">
        <v>110</v>
      </c>
      <c r="B52" s="539">
        <v>1972.96</v>
      </c>
      <c r="C52" s="539">
        <v>1242.5139999999999</v>
      </c>
      <c r="D52" s="539">
        <v>18159.05</v>
      </c>
      <c r="E52" s="539">
        <v>20586.173999999999</v>
      </c>
    </row>
    <row r="53" spans="1:5" ht="14.25">
      <c r="A53" s="461" t="s">
        <v>111</v>
      </c>
      <c r="B53" s="539">
        <v>897.798</v>
      </c>
      <c r="C53" s="539">
        <v>559.1160000000001</v>
      </c>
      <c r="D53" s="539">
        <v>8867.1780000000017</v>
      </c>
      <c r="E53" s="539">
        <v>10005.741</v>
      </c>
    </row>
    <row r="54" spans="1:5" ht="14.25">
      <c r="A54" s="461" t="s">
        <v>112</v>
      </c>
      <c r="B54" s="539">
        <v>973.65600000000006</v>
      </c>
      <c r="C54" s="539">
        <v>705.31999999999994</v>
      </c>
      <c r="D54" s="539">
        <v>9386.0229999999992</v>
      </c>
      <c r="E54" s="539">
        <v>10711.740000000002</v>
      </c>
    </row>
    <row r="55" spans="1:5" ht="14.25">
      <c r="A55" s="461" t="s">
        <v>113</v>
      </c>
      <c r="B55" s="539">
        <v>455.86800000000005</v>
      </c>
      <c r="C55" s="539">
        <v>286.00799999999998</v>
      </c>
      <c r="D55" s="539">
        <v>4307.8679999999995</v>
      </c>
      <c r="E55" s="539">
        <v>4896.9409999999998</v>
      </c>
    </row>
    <row r="56" spans="1:5" ht="14.25">
      <c r="A56" s="307"/>
      <c r="B56" s="541"/>
      <c r="C56" s="541"/>
      <c r="D56" s="541"/>
      <c r="E56" s="541"/>
    </row>
    <row r="57" spans="1:5" ht="14.25">
      <c r="A57" s="534" t="s">
        <v>21</v>
      </c>
      <c r="B57" s="535">
        <v>12746.880999999999</v>
      </c>
      <c r="C57" s="535">
        <v>9875.3140000000003</v>
      </c>
      <c r="D57" s="535">
        <v>122802.30299999999</v>
      </c>
      <c r="E57" s="535">
        <v>140185.73700000002</v>
      </c>
    </row>
    <row r="58" spans="1:5" ht="14.25">
      <c r="A58" s="459" t="s">
        <v>114</v>
      </c>
      <c r="B58" s="537">
        <v>254.21</v>
      </c>
      <c r="C58" s="537">
        <v>190.73600000000002</v>
      </c>
      <c r="D58" s="537">
        <v>3274.5440000000003</v>
      </c>
      <c r="E58" s="537">
        <v>3554.0939999999996</v>
      </c>
    </row>
    <row r="59" spans="1:5" ht="14.25">
      <c r="A59" s="461" t="s">
        <v>115</v>
      </c>
      <c r="B59" s="539">
        <v>5449.1919999999991</v>
      </c>
      <c r="C59" s="539">
        <v>4916.6610000000001</v>
      </c>
      <c r="D59" s="539">
        <v>55454.307000000001</v>
      </c>
      <c r="E59" s="539">
        <v>63226.044000000009</v>
      </c>
    </row>
    <row r="60" spans="1:5" ht="14.25">
      <c r="A60" s="461" t="s">
        <v>116</v>
      </c>
      <c r="B60" s="539">
        <v>1554.748</v>
      </c>
      <c r="C60" s="539">
        <v>1203.384</v>
      </c>
      <c r="D60" s="539">
        <v>14804.993</v>
      </c>
      <c r="E60" s="539">
        <v>16857.490000000002</v>
      </c>
    </row>
    <row r="61" spans="1:5" ht="14.25">
      <c r="A61" s="461" t="s">
        <v>117</v>
      </c>
      <c r="B61" s="539">
        <v>851.38200000000006</v>
      </c>
      <c r="C61" s="539">
        <v>462.52799999999996</v>
      </c>
      <c r="D61" s="539">
        <v>6425.2409999999991</v>
      </c>
      <c r="E61" s="539">
        <v>7644.05</v>
      </c>
    </row>
    <row r="62" spans="1:5" ht="14.25">
      <c r="A62" s="461" t="s">
        <v>118</v>
      </c>
      <c r="B62" s="539">
        <v>802.75200000000007</v>
      </c>
      <c r="C62" s="539">
        <v>514.46100000000001</v>
      </c>
      <c r="D62" s="539">
        <v>7291.6540000000005</v>
      </c>
      <c r="E62" s="539">
        <v>8320.9</v>
      </c>
    </row>
    <row r="63" spans="1:5" ht="14.25">
      <c r="A63" s="461" t="s">
        <v>119</v>
      </c>
      <c r="B63" s="539">
        <v>404.47199999999998</v>
      </c>
      <c r="C63" s="539">
        <v>277.95600000000002</v>
      </c>
      <c r="D63" s="539">
        <v>3809.7359999999999</v>
      </c>
      <c r="E63" s="539">
        <v>4330.143</v>
      </c>
    </row>
    <row r="64" spans="1:5" ht="14.25">
      <c r="A64" s="538" t="s">
        <v>120</v>
      </c>
      <c r="B64" s="539">
        <v>1038.4380000000001</v>
      </c>
      <c r="C64" s="539">
        <v>570.76800000000003</v>
      </c>
      <c r="D64" s="539">
        <v>8859.4159999999993</v>
      </c>
      <c r="E64" s="539">
        <v>10200</v>
      </c>
    </row>
    <row r="65" spans="1:5" ht="14.25">
      <c r="A65" s="538" t="s">
        <v>121</v>
      </c>
      <c r="B65" s="539">
        <v>1918.8210000000001</v>
      </c>
      <c r="C65" s="539">
        <v>1239.4199999999998</v>
      </c>
      <c r="D65" s="539">
        <v>17165.189999999999</v>
      </c>
      <c r="E65" s="539">
        <v>19626.5</v>
      </c>
    </row>
    <row r="66" spans="1:5" ht="14.25">
      <c r="A66" s="538" t="s">
        <v>122</v>
      </c>
      <c r="B66" s="539">
        <v>472.86599999999999</v>
      </c>
      <c r="C66" s="539">
        <v>499.4</v>
      </c>
      <c r="D66" s="539">
        <v>5717.2219999999998</v>
      </c>
      <c r="E66" s="539">
        <v>6426.5159999999996</v>
      </c>
    </row>
    <row r="67" spans="1:5" ht="14.25">
      <c r="A67" s="307"/>
      <c r="B67" s="541"/>
      <c r="C67" s="541"/>
      <c r="D67" s="541"/>
      <c r="E67" s="541"/>
    </row>
    <row r="68" spans="1:5" ht="14.25">
      <c r="A68" s="534" t="s">
        <v>482</v>
      </c>
      <c r="B68" s="535">
        <v>12481.514000000003</v>
      </c>
      <c r="C68" s="535">
        <v>11442.581</v>
      </c>
      <c r="D68" s="535">
        <v>130813.38400000001</v>
      </c>
      <c r="E68" s="535">
        <v>150077.24199999997</v>
      </c>
    </row>
    <row r="69" spans="1:5" ht="14.25">
      <c r="A69" s="459" t="s">
        <v>74</v>
      </c>
      <c r="B69" s="537">
        <v>570.10300000000007</v>
      </c>
      <c r="C69" s="537">
        <v>289.16999999999996</v>
      </c>
      <c r="D69" s="537">
        <v>4783.7789999999995</v>
      </c>
      <c r="E69" s="537">
        <v>5514.6</v>
      </c>
    </row>
    <row r="70" spans="1:5" ht="14.25">
      <c r="A70" s="461" t="s">
        <v>75</v>
      </c>
      <c r="B70" s="539">
        <v>156.04</v>
      </c>
      <c r="C70" s="539">
        <v>131.64800000000002</v>
      </c>
      <c r="D70" s="539">
        <v>2044.7680000000003</v>
      </c>
      <c r="E70" s="539">
        <v>2258.7840000000001</v>
      </c>
    </row>
    <row r="71" spans="1:5" ht="14.25">
      <c r="A71" s="461" t="s">
        <v>69</v>
      </c>
      <c r="B71" s="539">
        <v>1162.3499999999999</v>
      </c>
      <c r="C71" s="539">
        <v>652.49600000000009</v>
      </c>
      <c r="D71" s="539">
        <v>13467.584000000001</v>
      </c>
      <c r="E71" s="539">
        <v>15022.289999999999</v>
      </c>
    </row>
    <row r="72" spans="1:5" ht="14.25">
      <c r="A72" s="461" t="s">
        <v>76</v>
      </c>
      <c r="B72" s="539">
        <v>129.17600000000002</v>
      </c>
      <c r="C72" s="539">
        <v>60.32</v>
      </c>
      <c r="D72" s="539">
        <v>989.44</v>
      </c>
      <c r="E72" s="539">
        <v>1129.037</v>
      </c>
    </row>
    <row r="73" spans="1:5" ht="14.25">
      <c r="A73" s="461" t="s">
        <v>70</v>
      </c>
      <c r="B73" s="539">
        <v>628.79999999999995</v>
      </c>
      <c r="C73" s="539">
        <v>419.44499999999999</v>
      </c>
      <c r="D73" s="539">
        <v>7613.97</v>
      </c>
      <c r="E73" s="539">
        <v>8423.3510000000006</v>
      </c>
    </row>
    <row r="74" spans="1:5" ht="14.25">
      <c r="A74" s="461" t="s">
        <v>77</v>
      </c>
      <c r="B74" s="539">
        <v>175.20500000000001</v>
      </c>
      <c r="C74" s="539">
        <v>99.2</v>
      </c>
      <c r="D74" s="539">
        <v>1554.2</v>
      </c>
      <c r="E74" s="539">
        <v>1773.7660000000001</v>
      </c>
    </row>
    <row r="75" spans="1:5" ht="14.25">
      <c r="A75" s="461" t="s">
        <v>78</v>
      </c>
      <c r="B75" s="539">
        <v>1096.1000000000001</v>
      </c>
      <c r="C75" s="539">
        <v>861.38099999999997</v>
      </c>
      <c r="D75" s="539">
        <v>10403.549999999999</v>
      </c>
      <c r="E75" s="539">
        <v>12104.455</v>
      </c>
    </row>
    <row r="76" spans="1:5" ht="14.25">
      <c r="A76" s="461" t="s">
        <v>79</v>
      </c>
      <c r="B76" s="539">
        <v>307.38499999999999</v>
      </c>
      <c r="C76" s="539">
        <v>169.05400000000003</v>
      </c>
      <c r="D76" s="539">
        <v>2842.9670000000006</v>
      </c>
      <c r="E76" s="539">
        <v>3205.5</v>
      </c>
    </row>
    <row r="77" spans="1:5" ht="14.25">
      <c r="A77" s="461" t="s">
        <v>80</v>
      </c>
      <c r="B77" s="539">
        <v>438.29199999999997</v>
      </c>
      <c r="C77" s="539">
        <v>182.90300000000002</v>
      </c>
      <c r="D77" s="539">
        <v>4228.6930000000002</v>
      </c>
      <c r="E77" s="539">
        <v>4729.8279999999995</v>
      </c>
    </row>
    <row r="78" spans="1:5" ht="14.25">
      <c r="A78" s="461" t="s">
        <v>81</v>
      </c>
      <c r="B78" s="539">
        <v>126.41799999999999</v>
      </c>
      <c r="C78" s="539">
        <v>78.431999999999988</v>
      </c>
      <c r="D78" s="539">
        <v>1191.0999999999999</v>
      </c>
      <c r="E78" s="539">
        <v>1347.0600000000002</v>
      </c>
    </row>
    <row r="79" spans="1:5" ht="14.25">
      <c r="A79" s="461" t="s">
        <v>82</v>
      </c>
      <c r="B79" s="539">
        <v>211.24199999999999</v>
      </c>
      <c r="C79" s="539">
        <v>239.97799999999998</v>
      </c>
      <c r="D79" s="539">
        <v>2702.6139999999996</v>
      </c>
      <c r="E79" s="539">
        <v>3012.36</v>
      </c>
    </row>
    <row r="80" spans="1:5" ht="14.25">
      <c r="A80" s="461" t="s">
        <v>83</v>
      </c>
      <c r="B80" s="539">
        <v>74.00800000000001</v>
      </c>
      <c r="C80" s="539">
        <v>38.351999999999997</v>
      </c>
      <c r="D80" s="539">
        <v>715.22399999999993</v>
      </c>
      <c r="E80" s="539">
        <v>789.08999999999992</v>
      </c>
    </row>
    <row r="81" spans="1:5" ht="14.25">
      <c r="A81" s="461" t="s">
        <v>84</v>
      </c>
      <c r="B81" s="539">
        <v>132.38600000000002</v>
      </c>
      <c r="C81" s="539">
        <v>62.417999999999992</v>
      </c>
      <c r="D81" s="539">
        <v>1216.848</v>
      </c>
      <c r="E81" s="539">
        <v>1380.74</v>
      </c>
    </row>
    <row r="82" spans="1:5" ht="14.25">
      <c r="A82" s="461" t="s">
        <v>85</v>
      </c>
      <c r="B82" s="539">
        <v>228.30500000000001</v>
      </c>
      <c r="C82" s="539">
        <v>128.20500000000001</v>
      </c>
      <c r="D82" s="539">
        <v>2397.9699999999998</v>
      </c>
      <c r="E82" s="539">
        <v>2688.7060000000001</v>
      </c>
    </row>
    <row r="83" spans="1:5" ht="14.25">
      <c r="A83" s="461" t="s">
        <v>71</v>
      </c>
      <c r="B83" s="539">
        <v>1922.9400000000003</v>
      </c>
      <c r="C83" s="539">
        <v>2036.3219999999999</v>
      </c>
      <c r="D83" s="539">
        <v>23059.697999999997</v>
      </c>
      <c r="E83" s="539">
        <v>26076.799999999999</v>
      </c>
    </row>
    <row r="84" spans="1:5" ht="14.25">
      <c r="A84" s="461" t="s">
        <v>86</v>
      </c>
      <c r="B84" s="539">
        <v>173.50199999999998</v>
      </c>
      <c r="C84" s="539">
        <v>98.091999999999999</v>
      </c>
      <c r="D84" s="539">
        <v>2100.7439999999997</v>
      </c>
      <c r="E84" s="539">
        <v>2305.8420000000001</v>
      </c>
    </row>
    <row r="85" spans="1:5" ht="14.25">
      <c r="A85" s="461" t="s">
        <v>72</v>
      </c>
      <c r="B85" s="539">
        <v>1766.68</v>
      </c>
      <c r="C85" s="539">
        <v>2154.2849999999999</v>
      </c>
      <c r="D85" s="539">
        <v>15756.195</v>
      </c>
      <c r="E85" s="539">
        <v>19090.805</v>
      </c>
    </row>
    <row r="86" spans="1:5" ht="14.25">
      <c r="A86" s="461" t="s">
        <v>87</v>
      </c>
      <c r="B86" s="539">
        <v>163.35</v>
      </c>
      <c r="C86" s="539">
        <v>61.05</v>
      </c>
      <c r="D86" s="539">
        <v>1320.345</v>
      </c>
      <c r="E86" s="539">
        <v>1503.684</v>
      </c>
    </row>
    <row r="87" spans="1:5" ht="14.25">
      <c r="A87" s="461" t="s">
        <v>88</v>
      </c>
      <c r="B87" s="539">
        <v>385.3</v>
      </c>
      <c r="C87" s="539">
        <v>441.98</v>
      </c>
      <c r="D87" s="539">
        <v>4434.8919999999998</v>
      </c>
      <c r="E87" s="539">
        <v>5083.7280000000001</v>
      </c>
    </row>
    <row r="88" spans="1:5" ht="14.25">
      <c r="A88" s="461" t="s">
        <v>73</v>
      </c>
      <c r="B88" s="539">
        <v>687.39</v>
      </c>
      <c r="C88" s="539">
        <v>446.20000000000005</v>
      </c>
      <c r="D88" s="539">
        <v>6793.2000000000007</v>
      </c>
      <c r="E88" s="539">
        <v>7597.7560000000003</v>
      </c>
    </row>
    <row r="89" spans="1:5" ht="14.25">
      <c r="A89" s="461" t="s">
        <v>89</v>
      </c>
      <c r="B89" s="539">
        <v>134.078</v>
      </c>
      <c r="C89" s="539">
        <v>71.630999999999986</v>
      </c>
      <c r="D89" s="539">
        <v>1328.6699999999998</v>
      </c>
      <c r="E89" s="539">
        <v>1479.4780000000001</v>
      </c>
    </row>
    <row r="90" spans="1:5" ht="14.25">
      <c r="A90" s="461" t="s">
        <v>90</v>
      </c>
      <c r="B90" s="539">
        <v>1627.8500000000001</v>
      </c>
      <c r="C90" s="539">
        <v>2625.6179999999999</v>
      </c>
      <c r="D90" s="539">
        <v>17953.464</v>
      </c>
      <c r="E90" s="539">
        <v>21430.512000000002</v>
      </c>
    </row>
    <row r="91" spans="1:5" ht="14.25">
      <c r="A91" s="461" t="s">
        <v>91</v>
      </c>
      <c r="B91" s="539">
        <v>63.558</v>
      </c>
      <c r="C91" s="539">
        <v>28.726000000000003</v>
      </c>
      <c r="D91" s="539">
        <v>670.45400000000006</v>
      </c>
      <c r="E91" s="539">
        <v>728.17200000000003</v>
      </c>
    </row>
    <row r="92" spans="1:5" ht="14.25">
      <c r="A92" s="461" t="s">
        <v>92</v>
      </c>
      <c r="B92" s="539">
        <v>121.05600000000001</v>
      </c>
      <c r="C92" s="539">
        <v>65.674999999999997</v>
      </c>
      <c r="D92" s="539">
        <v>1243.0149999999999</v>
      </c>
      <c r="E92" s="539">
        <v>1400.8979999999999</v>
      </c>
    </row>
    <row r="93" spans="1:5" ht="14.25">
      <c r="A93" s="307"/>
      <c r="B93" s="541"/>
      <c r="C93" s="541"/>
      <c r="D93" s="541"/>
      <c r="E93" s="541"/>
    </row>
    <row r="94" spans="1:5" ht="14.25">
      <c r="A94" s="534" t="s">
        <v>555</v>
      </c>
      <c r="B94" s="535">
        <v>10901.285000000002</v>
      </c>
      <c r="C94" s="535">
        <v>9190.6869999999999</v>
      </c>
      <c r="D94" s="535">
        <v>122437.94900000004</v>
      </c>
      <c r="E94" s="535">
        <v>138416.149</v>
      </c>
    </row>
    <row r="95" spans="1:5" ht="14.25">
      <c r="A95" s="459" t="s">
        <v>123</v>
      </c>
      <c r="B95" s="537">
        <v>376.80500000000001</v>
      </c>
      <c r="C95" s="537">
        <v>268.86199999999997</v>
      </c>
      <c r="D95" s="537">
        <v>4465.6139999999996</v>
      </c>
      <c r="E95" s="537">
        <v>4906.8180000000002</v>
      </c>
    </row>
    <row r="96" spans="1:5" ht="14.25">
      <c r="A96" s="461" t="s">
        <v>124</v>
      </c>
      <c r="B96" s="539">
        <v>175.13399999999999</v>
      </c>
      <c r="C96" s="539">
        <v>92.72</v>
      </c>
      <c r="D96" s="539">
        <v>1477.9079999999999</v>
      </c>
      <c r="E96" s="539">
        <v>1712.34</v>
      </c>
    </row>
    <row r="97" spans="1:5" ht="14.25">
      <c r="A97" s="461" t="s">
        <v>125</v>
      </c>
      <c r="B97" s="539">
        <v>340.00200000000001</v>
      </c>
      <c r="C97" s="539">
        <v>209.50799999999998</v>
      </c>
      <c r="D97" s="539">
        <v>3551.4449999999997</v>
      </c>
      <c r="E97" s="539">
        <v>4005.1440000000002</v>
      </c>
    </row>
    <row r="98" spans="1:5" ht="14.25">
      <c r="A98" s="461" t="s">
        <v>126</v>
      </c>
      <c r="B98" s="539">
        <v>197.125</v>
      </c>
      <c r="C98" s="539">
        <v>154.10499999999999</v>
      </c>
      <c r="D98" s="539">
        <v>2634.73</v>
      </c>
      <c r="E98" s="539">
        <v>2847.9059999999999</v>
      </c>
    </row>
    <row r="99" spans="1:5" ht="14.25">
      <c r="A99" s="461" t="s">
        <v>127</v>
      </c>
      <c r="B99" s="539">
        <v>2273.13</v>
      </c>
      <c r="C99" s="539">
        <v>1526.3730000000003</v>
      </c>
      <c r="D99" s="539">
        <v>27255.704000000002</v>
      </c>
      <c r="E99" s="539">
        <v>30166.799999999999</v>
      </c>
    </row>
    <row r="100" spans="1:5" ht="14.25">
      <c r="A100" s="461" t="s">
        <v>128</v>
      </c>
      <c r="B100" s="539">
        <v>678.63300000000004</v>
      </c>
      <c r="C100" s="539">
        <v>701.29599999999994</v>
      </c>
      <c r="D100" s="539">
        <v>9985.1999999999989</v>
      </c>
      <c r="E100" s="539">
        <v>11023.990000000002</v>
      </c>
    </row>
    <row r="101" spans="1:5" ht="14.25">
      <c r="A101" s="461" t="s">
        <v>129</v>
      </c>
      <c r="B101" s="539">
        <v>322.322</v>
      </c>
      <c r="C101" s="539">
        <v>190.21</v>
      </c>
      <c r="D101" s="539">
        <v>3248.75</v>
      </c>
      <c r="E101" s="539">
        <v>3674.4960000000001</v>
      </c>
    </row>
    <row r="102" spans="1:5" ht="14.25">
      <c r="A102" s="461" t="s">
        <v>130</v>
      </c>
      <c r="B102" s="539">
        <v>146.23699999999999</v>
      </c>
      <c r="C102" s="539">
        <v>74.927999999999997</v>
      </c>
      <c r="D102" s="539">
        <v>1228.0609999999999</v>
      </c>
      <c r="E102" s="539">
        <v>1415.5</v>
      </c>
    </row>
    <row r="103" spans="1:5" ht="14.25">
      <c r="A103" s="461" t="s">
        <v>131</v>
      </c>
      <c r="B103" s="539">
        <v>115.27200000000002</v>
      </c>
      <c r="C103" s="539">
        <v>73.943999999999988</v>
      </c>
      <c r="D103" s="539">
        <v>1099.8</v>
      </c>
      <c r="E103" s="539">
        <v>1257.23</v>
      </c>
    </row>
    <row r="104" spans="1:5" ht="14.25">
      <c r="A104" s="461" t="s">
        <v>132</v>
      </c>
      <c r="B104" s="539">
        <v>514.745</v>
      </c>
      <c r="C104" s="539">
        <v>346.28800000000001</v>
      </c>
      <c r="D104" s="539">
        <v>6009.2560000000003</v>
      </c>
      <c r="E104" s="539">
        <v>6716.7</v>
      </c>
    </row>
    <row r="105" spans="1:5" ht="14.25">
      <c r="A105" s="461" t="s">
        <v>133</v>
      </c>
      <c r="B105" s="539">
        <v>1199.616</v>
      </c>
      <c r="C105" s="539">
        <v>688.65499999999997</v>
      </c>
      <c r="D105" s="539">
        <v>12323.475999999999</v>
      </c>
      <c r="E105" s="539">
        <v>13851.513000000001</v>
      </c>
    </row>
    <row r="106" spans="1:5" ht="14.25">
      <c r="A106" s="461" t="s">
        <v>134</v>
      </c>
      <c r="B106" s="539">
        <v>497.90700000000004</v>
      </c>
      <c r="C106" s="539">
        <v>929.94899999999996</v>
      </c>
      <c r="D106" s="539">
        <v>5385.6260000000002</v>
      </c>
      <c r="E106" s="539">
        <v>6579.5439999999999</v>
      </c>
    </row>
    <row r="107" spans="1:5" ht="14.25">
      <c r="A107" s="461" t="s">
        <v>135</v>
      </c>
      <c r="B107" s="539">
        <v>531.36</v>
      </c>
      <c r="C107" s="539">
        <v>287.01400000000001</v>
      </c>
      <c r="D107" s="539">
        <v>4409.4439999999995</v>
      </c>
      <c r="E107" s="539">
        <v>5106.192</v>
      </c>
    </row>
    <row r="108" spans="1:5" ht="14.25">
      <c r="A108" s="461" t="s">
        <v>136</v>
      </c>
      <c r="B108" s="539">
        <v>189.95199999999997</v>
      </c>
      <c r="C108" s="539">
        <v>230.69499999999999</v>
      </c>
      <c r="D108" s="539">
        <v>2222.59</v>
      </c>
      <c r="E108" s="539">
        <v>2531.2559999999999</v>
      </c>
    </row>
    <row r="109" spans="1:5" ht="14.25">
      <c r="A109" s="461" t="s">
        <v>137</v>
      </c>
      <c r="B109" s="539">
        <v>420.02499999999998</v>
      </c>
      <c r="C109" s="539">
        <v>297.387</v>
      </c>
      <c r="D109" s="539">
        <v>4924.7439999999997</v>
      </c>
      <c r="E109" s="539">
        <v>5466.23</v>
      </c>
    </row>
    <row r="110" spans="1:5" ht="14.25" customHeight="1">
      <c r="A110" s="461" t="s">
        <v>138</v>
      </c>
      <c r="B110" s="539">
        <v>163.68100000000001</v>
      </c>
      <c r="C110" s="539">
        <v>73.92</v>
      </c>
      <c r="D110" s="539">
        <v>1717.248</v>
      </c>
      <c r="E110" s="539">
        <v>1895.2920000000001</v>
      </c>
    </row>
    <row r="111" spans="1:5" ht="14.25" customHeight="1">
      <c r="A111" s="461" t="s">
        <v>139</v>
      </c>
      <c r="B111" s="539">
        <v>267.08000000000004</v>
      </c>
      <c r="C111" s="539">
        <v>123.39400000000001</v>
      </c>
      <c r="D111" s="539">
        <v>2255.7000000000003</v>
      </c>
      <c r="E111" s="539">
        <v>2581.3679999999999</v>
      </c>
    </row>
    <row r="112" spans="1:5" ht="14.25">
      <c r="A112" s="461" t="s">
        <v>140</v>
      </c>
      <c r="B112" s="539">
        <v>647.78400000000011</v>
      </c>
      <c r="C112" s="539">
        <v>453.12</v>
      </c>
      <c r="D112" s="539">
        <v>7172.7359999999999</v>
      </c>
      <c r="E112" s="539">
        <v>8015.67</v>
      </c>
    </row>
    <row r="113" spans="1:8" ht="14.25">
      <c r="A113" s="461" t="s">
        <v>141</v>
      </c>
      <c r="B113" s="539">
        <v>252.82199999999997</v>
      </c>
      <c r="C113" s="539">
        <v>130.29499999999999</v>
      </c>
      <c r="D113" s="539">
        <v>2088.2620000000002</v>
      </c>
      <c r="E113" s="539">
        <v>2416.7249999999999</v>
      </c>
    </row>
    <row r="114" spans="1:8" ht="14.25">
      <c r="A114" s="461" t="s">
        <v>142</v>
      </c>
      <c r="B114" s="539">
        <v>314.75400000000002</v>
      </c>
      <c r="C114" s="539">
        <v>261.51199999999994</v>
      </c>
      <c r="D114" s="539">
        <v>3265.7959999999998</v>
      </c>
      <c r="E114" s="539">
        <v>3763.9639999999995</v>
      </c>
    </row>
    <row r="115" spans="1:8" ht="14.25">
      <c r="A115" s="461" t="s">
        <v>143</v>
      </c>
      <c r="B115" s="539">
        <v>359.04599999999999</v>
      </c>
      <c r="C115" s="539">
        <v>1422.1719999999998</v>
      </c>
      <c r="D115" s="539">
        <v>4995.4709999999995</v>
      </c>
      <c r="E115" s="539">
        <v>6558.6200000000008</v>
      </c>
    </row>
    <row r="116" spans="1:8" ht="14.25">
      <c r="A116" s="461" t="s">
        <v>144</v>
      </c>
      <c r="B116" s="539">
        <v>718.27199999999993</v>
      </c>
      <c r="C116" s="539">
        <v>546.97500000000002</v>
      </c>
      <c r="D116" s="539">
        <v>8798.85</v>
      </c>
      <c r="E116" s="539">
        <v>9759.7010000000009</v>
      </c>
    </row>
    <row r="117" spans="1:8" ht="14.25">
      <c r="A117" s="461" t="s">
        <v>145</v>
      </c>
      <c r="B117" s="539">
        <v>199.58099999999999</v>
      </c>
      <c r="C117" s="539">
        <v>107.36499999999999</v>
      </c>
      <c r="D117" s="539">
        <v>1921.5379999999998</v>
      </c>
      <c r="E117" s="539">
        <v>2163.15</v>
      </c>
    </row>
    <row r="118" spans="1:8" ht="14.25">
      <c r="A118" s="307"/>
      <c r="B118" s="541"/>
      <c r="C118" s="541"/>
      <c r="D118" s="541"/>
      <c r="E118" s="541"/>
    </row>
    <row r="119" spans="1:8" ht="14.25">
      <c r="A119" s="540" t="s">
        <v>301</v>
      </c>
      <c r="B119" s="541">
        <v>107892.69299999998</v>
      </c>
      <c r="C119" s="541">
        <v>81651.627999999982</v>
      </c>
      <c r="D119" s="541">
        <v>1105491.2709999995</v>
      </c>
      <c r="E119" s="541">
        <v>1248532.2829999998</v>
      </c>
    </row>
    <row r="120" spans="1:8" ht="14.25">
      <c r="A120" s="457"/>
      <c r="B120" s="457"/>
      <c r="C120" s="457"/>
      <c r="D120" s="457"/>
      <c r="E120" s="457"/>
    </row>
    <row r="121" spans="1:8" ht="30" customHeight="1">
      <c r="A121" s="527" t="s">
        <v>543</v>
      </c>
      <c r="B121" s="527"/>
      <c r="C121" s="527"/>
      <c r="D121" s="527"/>
      <c r="E121" s="527"/>
    </row>
    <row r="122" spans="1:8" ht="30" customHeight="1">
      <c r="A122" s="527" t="s">
        <v>544</v>
      </c>
      <c r="B122" s="527"/>
      <c r="C122" s="527"/>
      <c r="D122" s="527"/>
      <c r="E122" s="527"/>
      <c r="F122" s="246"/>
      <c r="G122" s="246"/>
      <c r="H122" s="246"/>
    </row>
    <row r="123" spans="1:8" ht="50.1" customHeight="1">
      <c r="A123" s="527" t="s">
        <v>545</v>
      </c>
      <c r="B123" s="527"/>
      <c r="C123" s="527"/>
      <c r="D123" s="527"/>
      <c r="E123" s="527"/>
      <c r="F123" s="246"/>
      <c r="G123" s="246"/>
      <c r="H123" s="246"/>
    </row>
  </sheetData>
  <sheetProtection sheet="1" objects="1" scenarios="1" pivotTables="0"/>
  <mergeCells count="3">
    <mergeCell ref="A121:E121"/>
    <mergeCell ref="A122:E122"/>
    <mergeCell ref="A123:E123"/>
  </mergeCells>
  <printOptions horizontalCentered="1"/>
  <pageMargins left="0.3" right="0.3" top="0.5" bottom="0.5" header="0.3" footer="0.3"/>
  <pageSetup scale="75" fitToHeight="2" orientation="portrait" r:id="rId2"/>
  <headerFooter>
    <oddFooter>&amp;LNC DHHS DMH/DD/SAS QM Section - MSchwartz&amp;R&amp;F</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
  <sheetViews>
    <sheetView workbookViewId="0">
      <pane ySplit="1" topLeftCell="A2" activePane="bottomLeft" state="frozen"/>
      <selection pane="bottomLeft" activeCell="N116" sqref="N116"/>
    </sheetView>
  </sheetViews>
  <sheetFormatPr defaultRowHeight="12.75"/>
  <cols>
    <col min="1" max="1" width="44.28515625" style="1" customWidth="1"/>
    <col min="2" max="2" width="11.5703125" style="1" bestFit="1" customWidth="1"/>
    <col min="3" max="3" width="9.85546875" style="1" bestFit="1" customWidth="1"/>
    <col min="4" max="4" width="11.7109375" style="1" bestFit="1" customWidth="1"/>
    <col min="5" max="5" width="10.85546875" style="1" bestFit="1" customWidth="1"/>
    <col min="6" max="6" width="9.85546875" style="1" bestFit="1" customWidth="1"/>
    <col min="7" max="7" width="11.28515625" style="1" bestFit="1" customWidth="1"/>
    <col min="8" max="8" width="11.140625" style="1" bestFit="1" customWidth="1"/>
    <col min="9" max="9" width="9.140625" style="1"/>
    <col min="10" max="10" width="11.5703125" style="1" bestFit="1" customWidth="1"/>
    <col min="11" max="11" width="9.140625" style="1"/>
    <col min="12" max="12" width="9.85546875" style="1" bestFit="1" customWidth="1"/>
    <col min="13" max="13" width="9.140625" style="1"/>
    <col min="14" max="14" width="11.5703125" style="1" bestFit="1" customWidth="1"/>
    <col min="15" max="15" width="9.140625" style="1"/>
    <col min="16" max="17" width="10.85546875" style="1" bestFit="1" customWidth="1"/>
    <col min="18" max="18" width="9.140625" style="1"/>
    <col min="19" max="19" width="9.42578125" style="1" bestFit="1" customWidth="1"/>
    <col min="20" max="20" width="10.85546875" style="1" bestFit="1" customWidth="1"/>
    <col min="21" max="21" width="11.140625" style="1" bestFit="1" customWidth="1"/>
    <col min="22" max="16384" width="9.140625" style="1"/>
  </cols>
  <sheetData>
    <row r="1" spans="1:24" ht="20.100000000000001" customHeight="1">
      <c r="A1" s="405" t="s">
        <v>426</v>
      </c>
      <c r="B1" s="406"/>
      <c r="C1" s="406"/>
      <c r="D1" s="406"/>
      <c r="E1" s="406"/>
      <c r="F1" s="406"/>
      <c r="G1" s="406"/>
      <c r="H1" s="406"/>
      <c r="I1" s="406"/>
      <c r="J1" s="406"/>
      <c r="K1" s="406"/>
      <c r="L1" s="406"/>
      <c r="M1" s="406"/>
      <c r="N1" s="406"/>
      <c r="O1" s="406"/>
    </row>
    <row r="3" spans="1:24">
      <c r="A3" s="23" t="s">
        <v>23</v>
      </c>
    </row>
    <row r="4" spans="1:24">
      <c r="A4" s="22" t="s">
        <v>13</v>
      </c>
    </row>
    <row r="5" spans="1:24">
      <c r="A5" s="54" t="s">
        <v>549</v>
      </c>
      <c r="B5" s="447"/>
    </row>
    <row r="6" spans="1:24">
      <c r="A6" s="54" t="s">
        <v>550</v>
      </c>
      <c r="B6" s="447"/>
    </row>
    <row r="7" spans="1:24">
      <c r="A7" s="54" t="s">
        <v>554</v>
      </c>
      <c r="B7" s="509" t="s">
        <v>547</v>
      </c>
    </row>
    <row r="8" spans="1:24">
      <c r="A8" s="22" t="s">
        <v>18</v>
      </c>
    </row>
    <row r="9" spans="1:24">
      <c r="A9" s="22" t="s">
        <v>20</v>
      </c>
    </row>
    <row r="10" spans="1:24">
      <c r="A10" s="22" t="s">
        <v>21</v>
      </c>
    </row>
    <row r="11" spans="1:24">
      <c r="A11" s="54" t="s">
        <v>295</v>
      </c>
      <c r="B11" s="445"/>
    </row>
    <row r="12" spans="1:24">
      <c r="A12" s="54" t="s">
        <v>482</v>
      </c>
      <c r="B12" s="509" t="s">
        <v>548</v>
      </c>
    </row>
    <row r="13" spans="1:24">
      <c r="A13" s="54" t="s">
        <v>555</v>
      </c>
      <c r="B13" s="528" t="s">
        <v>556</v>
      </c>
    </row>
    <row r="16" spans="1:24">
      <c r="A16" s="60" t="s">
        <v>470</v>
      </c>
      <c r="C16" s="22"/>
      <c r="D16" s="22"/>
      <c r="E16" s="22"/>
      <c r="F16" s="22"/>
      <c r="G16" s="22"/>
      <c r="H16" s="22"/>
      <c r="I16" s="22"/>
      <c r="J16" s="22"/>
      <c r="K16" s="22"/>
      <c r="L16" s="22"/>
      <c r="M16" s="22"/>
      <c r="N16" s="22"/>
      <c r="O16" s="22"/>
      <c r="P16" s="22"/>
      <c r="Q16" s="22"/>
      <c r="R16" s="22"/>
      <c r="S16" s="22"/>
      <c r="T16" s="22"/>
      <c r="U16" s="22"/>
      <c r="V16" s="22"/>
      <c r="W16" s="22"/>
      <c r="X16" s="22"/>
    </row>
    <row r="17" spans="1:26">
      <c r="A17" s="59" t="s">
        <v>44</v>
      </c>
      <c r="B17" s="45">
        <v>2</v>
      </c>
      <c r="C17" s="45">
        <v>3</v>
      </c>
      <c r="D17" s="45">
        <v>4</v>
      </c>
      <c r="E17" s="45">
        <v>5</v>
      </c>
      <c r="F17" s="45">
        <v>6</v>
      </c>
      <c r="G17" s="45">
        <v>7</v>
      </c>
      <c r="H17" s="45">
        <v>8</v>
      </c>
      <c r="I17" s="45">
        <v>9</v>
      </c>
      <c r="J17" s="45">
        <v>10</v>
      </c>
      <c r="K17" s="45">
        <v>11</v>
      </c>
      <c r="L17" s="45">
        <v>12</v>
      </c>
      <c r="M17" s="45">
        <v>13</v>
      </c>
      <c r="N17" s="45">
        <v>14</v>
      </c>
      <c r="O17" s="45">
        <v>15</v>
      </c>
      <c r="P17" s="45">
        <v>16</v>
      </c>
      <c r="Q17" s="45">
        <v>17</v>
      </c>
      <c r="R17" s="45">
        <v>18</v>
      </c>
      <c r="S17" s="45">
        <v>19</v>
      </c>
      <c r="T17" s="45">
        <v>20</v>
      </c>
      <c r="U17" s="45">
        <v>21</v>
      </c>
      <c r="V17" s="45">
        <v>22</v>
      </c>
      <c r="W17" s="45">
        <v>23</v>
      </c>
      <c r="X17" s="45">
        <v>24</v>
      </c>
      <c r="Y17" s="158">
        <v>25</v>
      </c>
      <c r="Z17" s="45">
        <v>26</v>
      </c>
    </row>
    <row r="18" spans="1:26">
      <c r="A18" s="30" t="s">
        <v>45</v>
      </c>
      <c r="B18" s="22"/>
      <c r="C18" s="22"/>
      <c r="D18" s="22"/>
      <c r="E18" s="22"/>
      <c r="F18" s="22"/>
      <c r="G18" s="22"/>
      <c r="H18" s="22"/>
      <c r="I18" s="22"/>
      <c r="J18" s="22"/>
      <c r="K18" s="22"/>
      <c r="L18" s="22"/>
      <c r="M18" s="22"/>
      <c r="N18" s="22"/>
      <c r="O18" s="22"/>
      <c r="P18" s="22"/>
      <c r="Q18" s="22"/>
      <c r="R18" s="22"/>
      <c r="S18" s="22"/>
      <c r="T18" s="22"/>
      <c r="U18" s="22"/>
      <c r="V18" s="22"/>
      <c r="W18" s="22"/>
      <c r="X18" s="22"/>
    </row>
    <row r="19" spans="1:26">
      <c r="A19" s="22" t="s">
        <v>13</v>
      </c>
      <c r="B19" s="22" t="s">
        <v>46</v>
      </c>
      <c r="C19" s="22" t="s">
        <v>47</v>
      </c>
      <c r="D19" s="22" t="s">
        <v>48</v>
      </c>
      <c r="E19" s="22" t="s">
        <v>49</v>
      </c>
      <c r="F19" s="22" t="s">
        <v>452</v>
      </c>
      <c r="G19" s="22"/>
      <c r="H19" s="22"/>
      <c r="I19" s="22"/>
      <c r="J19" s="22"/>
      <c r="K19" s="22"/>
      <c r="L19" s="22"/>
      <c r="M19" s="22"/>
      <c r="N19" s="22"/>
      <c r="O19" s="22"/>
      <c r="P19" s="22"/>
      <c r="Q19" s="22"/>
      <c r="R19" s="22"/>
      <c r="S19" s="22"/>
      <c r="T19" s="22"/>
      <c r="U19" s="22"/>
      <c r="V19" s="22"/>
      <c r="W19" s="22"/>
      <c r="X19" s="22"/>
      <c r="Y19" s="22"/>
      <c r="Z19" s="22"/>
    </row>
    <row r="20" spans="1:26">
      <c r="A20" s="54" t="s">
        <v>549</v>
      </c>
      <c r="B20" s="22" t="s">
        <v>50</v>
      </c>
      <c r="C20" s="22" t="s">
        <v>51</v>
      </c>
      <c r="D20" s="22" t="s">
        <v>52</v>
      </c>
      <c r="E20" s="22" t="s">
        <v>53</v>
      </c>
      <c r="F20" s="22" t="s">
        <v>54</v>
      </c>
      <c r="G20" s="22" t="s">
        <v>55</v>
      </c>
      <c r="H20" s="22" t="s">
        <v>56</v>
      </c>
      <c r="I20" s="22" t="s">
        <v>57</v>
      </c>
      <c r="J20" s="54" t="s">
        <v>105</v>
      </c>
      <c r="K20" s="22" t="s">
        <v>58</v>
      </c>
      <c r="L20" s="22" t="s">
        <v>59</v>
      </c>
      <c r="M20" s="22" t="s">
        <v>60</v>
      </c>
      <c r="N20" s="22" t="s">
        <v>61</v>
      </c>
      <c r="O20" s="22" t="s">
        <v>62</v>
      </c>
      <c r="P20" s="22" t="s">
        <v>63</v>
      </c>
      <c r="Q20" s="22" t="s">
        <v>64</v>
      </c>
      <c r="R20" s="22" t="s">
        <v>452</v>
      </c>
      <c r="S20" s="22"/>
      <c r="T20" s="22"/>
      <c r="U20" s="22"/>
      <c r="V20" s="22"/>
      <c r="W20" s="22"/>
      <c r="X20" s="22"/>
      <c r="Y20" s="22"/>
      <c r="Z20" s="22"/>
    </row>
    <row r="21" spans="1:26">
      <c r="A21" s="54" t="s">
        <v>550</v>
      </c>
      <c r="B21" s="22" t="s">
        <v>50</v>
      </c>
      <c r="C21" s="22" t="s">
        <v>51</v>
      </c>
      <c r="D21" s="22" t="s">
        <v>52</v>
      </c>
      <c r="E21" s="22" t="s">
        <v>53</v>
      </c>
      <c r="F21" s="22" t="s">
        <v>54</v>
      </c>
      <c r="G21" s="22" t="s">
        <v>65</v>
      </c>
      <c r="H21" s="22" t="s">
        <v>66</v>
      </c>
      <c r="I21" s="22" t="s">
        <v>55</v>
      </c>
      <c r="J21" s="22" t="s">
        <v>56</v>
      </c>
      <c r="K21" s="22" t="s">
        <v>57</v>
      </c>
      <c r="L21" s="54" t="s">
        <v>105</v>
      </c>
      <c r="M21" s="22" t="s">
        <v>58</v>
      </c>
      <c r="N21" s="22" t="s">
        <v>59</v>
      </c>
      <c r="O21" s="22" t="s">
        <v>67</v>
      </c>
      <c r="P21" s="22" t="s">
        <v>60</v>
      </c>
      <c r="Q21" s="22" t="s">
        <v>61</v>
      </c>
      <c r="R21" s="22" t="s">
        <v>68</v>
      </c>
      <c r="S21" s="22" t="s">
        <v>62</v>
      </c>
      <c r="T21" s="22" t="s">
        <v>63</v>
      </c>
      <c r="U21" s="22" t="s">
        <v>64</v>
      </c>
      <c r="V21" s="54" t="s">
        <v>452</v>
      </c>
      <c r="W21" s="22"/>
      <c r="X21" s="22"/>
      <c r="Y21" s="22"/>
      <c r="Z21" s="22"/>
    </row>
    <row r="22" spans="1:26">
      <c r="A22" s="54" t="s">
        <v>554</v>
      </c>
      <c r="B22" s="22" t="s">
        <v>65</v>
      </c>
      <c r="C22" s="22" t="s">
        <v>66</v>
      </c>
      <c r="D22" s="22" t="s">
        <v>67</v>
      </c>
      <c r="E22" s="22" t="s">
        <v>68</v>
      </c>
      <c r="F22" s="22" t="s">
        <v>452</v>
      </c>
      <c r="G22" s="22"/>
      <c r="H22" s="22"/>
      <c r="I22" s="22"/>
      <c r="J22" s="22"/>
      <c r="K22" s="22"/>
      <c r="L22" s="22"/>
      <c r="M22" s="22"/>
      <c r="N22" s="22"/>
      <c r="O22" s="22"/>
      <c r="P22" s="22"/>
      <c r="Q22" s="22"/>
      <c r="R22" s="22"/>
      <c r="S22" s="22"/>
      <c r="T22" s="22"/>
      <c r="U22" s="22"/>
      <c r="V22" s="22"/>
      <c r="W22" s="22"/>
      <c r="X22" s="22"/>
      <c r="Y22" s="22"/>
      <c r="Z22" s="22"/>
    </row>
    <row r="23" spans="1:26">
      <c r="A23" s="22" t="s">
        <v>18</v>
      </c>
      <c r="B23" s="22" t="s">
        <v>93</v>
      </c>
      <c r="C23" s="22" t="s">
        <v>94</v>
      </c>
      <c r="D23" s="22" t="s">
        <v>95</v>
      </c>
      <c r="E23" s="22" t="s">
        <v>96</v>
      </c>
      <c r="F23" s="22" t="s">
        <v>97</v>
      </c>
      <c r="G23" s="22" t="s">
        <v>98</v>
      </c>
      <c r="H23" s="22" t="s">
        <v>99</v>
      </c>
      <c r="I23" s="22" t="s">
        <v>100</v>
      </c>
      <c r="J23" s="22" t="s">
        <v>101</v>
      </c>
      <c r="K23" s="22" t="s">
        <v>102</v>
      </c>
      <c r="L23" s="22" t="s">
        <v>103</v>
      </c>
      <c r="M23" s="22" t="s">
        <v>104</v>
      </c>
      <c r="N23" s="22" t="s">
        <v>452</v>
      </c>
      <c r="O23" s="22"/>
      <c r="P23" s="22"/>
      <c r="Q23" s="22"/>
      <c r="R23" s="22"/>
      <c r="S23" s="22"/>
      <c r="T23" s="22"/>
      <c r="U23" s="22"/>
      <c r="V23" s="22"/>
      <c r="W23" s="22"/>
      <c r="X23" s="22"/>
      <c r="Y23" s="22"/>
      <c r="Z23" s="22"/>
    </row>
    <row r="24" spans="1:26">
      <c r="A24" s="22" t="s">
        <v>20</v>
      </c>
      <c r="B24" s="22" t="s">
        <v>106</v>
      </c>
      <c r="C24" s="22" t="s">
        <v>107</v>
      </c>
      <c r="D24" s="22" t="s">
        <v>108</v>
      </c>
      <c r="E24" s="22" t="s">
        <v>109</v>
      </c>
      <c r="F24" s="22" t="s">
        <v>110</v>
      </c>
      <c r="G24" s="22" t="s">
        <v>111</v>
      </c>
      <c r="H24" s="22" t="s">
        <v>112</v>
      </c>
      <c r="I24" s="22" t="s">
        <v>113</v>
      </c>
      <c r="J24" s="22" t="s">
        <v>452</v>
      </c>
      <c r="K24" s="22"/>
      <c r="L24" s="22"/>
      <c r="M24" s="22"/>
      <c r="N24" s="22"/>
      <c r="O24" s="22"/>
      <c r="P24" s="22"/>
      <c r="Q24" s="22"/>
      <c r="R24" s="22"/>
      <c r="S24" s="22"/>
      <c r="T24" s="22"/>
      <c r="U24" s="22"/>
      <c r="V24" s="22"/>
      <c r="W24" s="22"/>
      <c r="X24" s="22"/>
      <c r="Y24" s="22"/>
      <c r="Z24" s="22"/>
    </row>
    <row r="25" spans="1:26">
      <c r="A25" s="22" t="s">
        <v>21</v>
      </c>
      <c r="B25" s="22" t="s">
        <v>114</v>
      </c>
      <c r="C25" s="22" t="s">
        <v>115</v>
      </c>
      <c r="D25" s="22" t="s">
        <v>116</v>
      </c>
      <c r="E25" s="22" t="s">
        <v>117</v>
      </c>
      <c r="F25" s="22" t="s">
        <v>118</v>
      </c>
      <c r="G25" s="22" t="s">
        <v>119</v>
      </c>
      <c r="H25" s="22" t="s">
        <v>120</v>
      </c>
      <c r="I25" s="22" t="s">
        <v>121</v>
      </c>
      <c r="J25" s="22" t="s">
        <v>122</v>
      </c>
      <c r="K25" s="22" t="s">
        <v>452</v>
      </c>
      <c r="L25" s="22"/>
      <c r="M25" s="22"/>
      <c r="N25" s="22"/>
      <c r="O25" s="22"/>
      <c r="P25" s="22"/>
      <c r="Q25" s="22"/>
      <c r="R25" s="22"/>
      <c r="S25" s="22"/>
      <c r="T25" s="22"/>
      <c r="U25" s="22"/>
      <c r="V25" s="22"/>
      <c r="W25" s="22"/>
      <c r="X25" s="22"/>
      <c r="Y25" s="22"/>
      <c r="Z25" s="22"/>
    </row>
    <row r="26" spans="1:26">
      <c r="A26" s="54" t="s">
        <v>295</v>
      </c>
      <c r="B26" s="22" t="s">
        <v>123</v>
      </c>
      <c r="C26" s="22" t="s">
        <v>124</v>
      </c>
      <c r="D26" s="22" t="s">
        <v>125</v>
      </c>
      <c r="E26" s="22" t="s">
        <v>126</v>
      </c>
      <c r="F26" s="22" t="s">
        <v>127</v>
      </c>
      <c r="G26" s="22" t="s">
        <v>128</v>
      </c>
      <c r="H26" s="22" t="s">
        <v>129</v>
      </c>
      <c r="I26" s="22" t="s">
        <v>130</v>
      </c>
      <c r="J26" s="22" t="s">
        <v>131</v>
      </c>
      <c r="K26" s="22" t="s">
        <v>132</v>
      </c>
      <c r="L26" s="22" t="s">
        <v>133</v>
      </c>
      <c r="M26" s="22" t="s">
        <v>134</v>
      </c>
      <c r="N26" s="22" t="s">
        <v>135</v>
      </c>
      <c r="O26" s="22" t="s">
        <v>136</v>
      </c>
      <c r="P26" s="22" t="s">
        <v>137</v>
      </c>
      <c r="Q26" s="22" t="s">
        <v>138</v>
      </c>
      <c r="R26" s="22" t="s">
        <v>139</v>
      </c>
      <c r="S26" s="22" t="s">
        <v>140</v>
      </c>
      <c r="T26" s="22" t="s">
        <v>141</v>
      </c>
      <c r="U26" s="22" t="s">
        <v>142</v>
      </c>
      <c r="V26" s="22" t="s">
        <v>143</v>
      </c>
      <c r="W26" s="22" t="s">
        <v>144</v>
      </c>
      <c r="X26" s="22" t="s">
        <v>145</v>
      </c>
      <c r="Y26" s="22" t="s">
        <v>452</v>
      </c>
      <c r="Z26" s="22"/>
    </row>
    <row r="27" spans="1:26">
      <c r="A27" s="54" t="s">
        <v>482</v>
      </c>
      <c r="B27" s="22" t="s">
        <v>74</v>
      </c>
      <c r="C27" s="22" t="s">
        <v>75</v>
      </c>
      <c r="D27" s="22" t="s">
        <v>69</v>
      </c>
      <c r="E27" s="22" t="s">
        <v>76</v>
      </c>
      <c r="F27" s="22" t="s">
        <v>70</v>
      </c>
      <c r="G27" s="22" t="s">
        <v>77</v>
      </c>
      <c r="H27" s="22" t="s">
        <v>78</v>
      </c>
      <c r="I27" s="22" t="s">
        <v>79</v>
      </c>
      <c r="J27" s="22" t="s">
        <v>80</v>
      </c>
      <c r="K27" s="22" t="s">
        <v>81</v>
      </c>
      <c r="L27" s="22" t="s">
        <v>82</v>
      </c>
      <c r="M27" s="22" t="s">
        <v>83</v>
      </c>
      <c r="N27" s="22" t="s">
        <v>84</v>
      </c>
      <c r="O27" s="22" t="s">
        <v>85</v>
      </c>
      <c r="P27" s="22" t="s">
        <v>71</v>
      </c>
      <c r="Q27" s="22" t="s">
        <v>86</v>
      </c>
      <c r="R27" s="22" t="s">
        <v>72</v>
      </c>
      <c r="S27" s="22" t="s">
        <v>87</v>
      </c>
      <c r="T27" s="22" t="s">
        <v>88</v>
      </c>
      <c r="U27" s="22" t="s">
        <v>73</v>
      </c>
      <c r="V27" s="22" t="s">
        <v>89</v>
      </c>
      <c r="W27" s="22" t="s">
        <v>90</v>
      </c>
      <c r="X27" s="22" t="s">
        <v>91</v>
      </c>
      <c r="Y27" s="22" t="s">
        <v>92</v>
      </c>
      <c r="Z27" s="448" t="s">
        <v>452</v>
      </c>
    </row>
    <row r="28" spans="1:26">
      <c r="A28" s="54" t="s">
        <v>555</v>
      </c>
      <c r="B28" s="22" t="s">
        <v>123</v>
      </c>
      <c r="C28" s="22" t="s">
        <v>124</v>
      </c>
      <c r="D28" s="22" t="s">
        <v>125</v>
      </c>
      <c r="E28" s="22" t="s">
        <v>126</v>
      </c>
      <c r="F28" s="22" t="s">
        <v>127</v>
      </c>
      <c r="G28" s="22" t="s">
        <v>128</v>
      </c>
      <c r="H28" s="22" t="s">
        <v>129</v>
      </c>
      <c r="I28" s="22" t="s">
        <v>130</v>
      </c>
      <c r="J28" s="22" t="s">
        <v>131</v>
      </c>
      <c r="K28" s="22" t="s">
        <v>132</v>
      </c>
      <c r="L28" s="22" t="s">
        <v>133</v>
      </c>
      <c r="M28" s="22" t="s">
        <v>134</v>
      </c>
      <c r="N28" s="22" t="s">
        <v>135</v>
      </c>
      <c r="O28" s="22" t="s">
        <v>136</v>
      </c>
      <c r="P28" s="22" t="s">
        <v>137</v>
      </c>
      <c r="Q28" s="22" t="s">
        <v>138</v>
      </c>
      <c r="R28" s="22" t="s">
        <v>139</v>
      </c>
      <c r="S28" s="22" t="s">
        <v>140</v>
      </c>
      <c r="T28" s="22" t="s">
        <v>141</v>
      </c>
      <c r="U28" s="22" t="s">
        <v>142</v>
      </c>
      <c r="V28" s="22" t="s">
        <v>143</v>
      </c>
      <c r="W28" s="22" t="s">
        <v>144</v>
      </c>
      <c r="X28" s="22" t="s">
        <v>145</v>
      </c>
      <c r="Y28" s="22" t="s">
        <v>452</v>
      </c>
      <c r="Z28" s="22"/>
    </row>
    <row r="30" spans="1:26">
      <c r="A30" s="60" t="s">
        <v>469</v>
      </c>
      <c r="C30" s="22"/>
      <c r="D30" s="22"/>
      <c r="E30" s="22"/>
      <c r="F30" s="22"/>
      <c r="G30" s="22"/>
      <c r="H30" s="22"/>
      <c r="I30" s="22"/>
      <c r="J30" s="22"/>
      <c r="K30" s="22"/>
      <c r="L30" s="22"/>
      <c r="M30" s="22"/>
      <c r="N30" s="22"/>
      <c r="O30" s="22"/>
      <c r="P30" s="22"/>
      <c r="Q30" s="22"/>
      <c r="R30" s="22"/>
      <c r="S30" s="22"/>
      <c r="T30" s="22"/>
      <c r="U30" s="22"/>
      <c r="V30" s="22"/>
      <c r="W30" s="22"/>
      <c r="X30" s="22"/>
    </row>
    <row r="31" spans="1:26">
      <c r="A31" s="59" t="s">
        <v>44</v>
      </c>
      <c r="B31" s="45">
        <v>2</v>
      </c>
      <c r="C31" s="45">
        <v>3</v>
      </c>
      <c r="D31" s="45">
        <v>4</v>
      </c>
      <c r="E31" s="45">
        <v>5</v>
      </c>
      <c r="F31" s="45">
        <v>6</v>
      </c>
      <c r="G31" s="45">
        <v>7</v>
      </c>
      <c r="H31" s="45">
        <v>8</v>
      </c>
      <c r="I31" s="45">
        <v>9</v>
      </c>
      <c r="J31" s="45">
        <v>10</v>
      </c>
      <c r="K31" s="45">
        <v>11</v>
      </c>
      <c r="L31" s="45">
        <v>12</v>
      </c>
      <c r="M31" s="45">
        <v>13</v>
      </c>
      <c r="N31" s="45">
        <v>14</v>
      </c>
      <c r="O31" s="45">
        <v>15</v>
      </c>
      <c r="P31" s="45">
        <v>16</v>
      </c>
      <c r="Q31" s="45">
        <v>17</v>
      </c>
      <c r="R31" s="45">
        <v>18</v>
      </c>
      <c r="S31" s="45">
        <v>19</v>
      </c>
      <c r="T31" s="45">
        <v>20</v>
      </c>
      <c r="U31" s="45">
        <v>21</v>
      </c>
      <c r="V31" s="45">
        <v>22</v>
      </c>
      <c r="W31" s="45">
        <v>23</v>
      </c>
      <c r="X31" s="45">
        <v>24</v>
      </c>
      <c r="Y31" s="158">
        <v>25</v>
      </c>
      <c r="Z31" s="45"/>
    </row>
    <row r="32" spans="1:26">
      <c r="A32" s="30" t="s">
        <v>45</v>
      </c>
      <c r="B32" s="22"/>
      <c r="C32" s="22"/>
      <c r="D32" s="22"/>
      <c r="E32" s="22"/>
      <c r="F32" s="22"/>
      <c r="G32" s="22"/>
      <c r="H32" s="22"/>
      <c r="I32" s="22"/>
      <c r="J32" s="22"/>
      <c r="K32" s="22"/>
      <c r="L32" s="22"/>
      <c r="M32" s="22"/>
      <c r="N32" s="22"/>
      <c r="O32" s="22"/>
      <c r="P32" s="22"/>
      <c r="Q32" s="22"/>
      <c r="R32" s="22"/>
      <c r="S32" s="22"/>
      <c r="T32" s="22"/>
      <c r="U32" s="22"/>
      <c r="V32" s="22"/>
      <c r="W32" s="22"/>
      <c r="X32" s="22"/>
    </row>
    <row r="33" spans="1:25">
      <c r="A33" s="22" t="s">
        <v>13</v>
      </c>
      <c r="B33" s="22" t="s">
        <v>46</v>
      </c>
      <c r="C33" s="22" t="s">
        <v>47</v>
      </c>
      <c r="D33" s="22" t="s">
        <v>48</v>
      </c>
      <c r="E33" s="22" t="s">
        <v>49</v>
      </c>
      <c r="F33" s="22"/>
      <c r="G33" s="22"/>
      <c r="H33" s="22"/>
      <c r="I33" s="22"/>
      <c r="J33" s="22"/>
      <c r="K33" s="22"/>
      <c r="L33" s="22"/>
      <c r="M33" s="22"/>
      <c r="N33" s="22"/>
      <c r="O33" s="22"/>
      <c r="P33" s="22"/>
      <c r="Q33" s="22"/>
      <c r="R33" s="22"/>
      <c r="S33" s="22"/>
      <c r="T33" s="22"/>
      <c r="U33" s="22"/>
      <c r="V33" s="22"/>
      <c r="W33" s="22"/>
      <c r="X33" s="22"/>
      <c r="Y33" s="22"/>
    </row>
    <row r="34" spans="1:25">
      <c r="A34" s="54" t="s">
        <v>549</v>
      </c>
      <c r="B34" s="22" t="s">
        <v>50</v>
      </c>
      <c r="C34" s="22" t="s">
        <v>51</v>
      </c>
      <c r="D34" s="22" t="s">
        <v>52</v>
      </c>
      <c r="E34" s="22" t="s">
        <v>53</v>
      </c>
      <c r="F34" s="22" t="s">
        <v>54</v>
      </c>
      <c r="G34" s="22" t="s">
        <v>55</v>
      </c>
      <c r="H34" s="22" t="s">
        <v>56</v>
      </c>
      <c r="I34" s="22" t="s">
        <v>57</v>
      </c>
      <c r="J34" s="54" t="s">
        <v>105</v>
      </c>
      <c r="K34" s="22" t="s">
        <v>58</v>
      </c>
      <c r="L34" s="22" t="s">
        <v>59</v>
      </c>
      <c r="M34" s="22" t="s">
        <v>60</v>
      </c>
      <c r="N34" s="22" t="s">
        <v>61</v>
      </c>
      <c r="O34" s="22" t="s">
        <v>62</v>
      </c>
      <c r="P34" s="22" t="s">
        <v>63</v>
      </c>
      <c r="Q34" s="22" t="s">
        <v>64</v>
      </c>
      <c r="R34" s="22"/>
      <c r="S34" s="22"/>
      <c r="T34" s="22"/>
      <c r="U34" s="22"/>
      <c r="V34" s="22"/>
      <c r="W34" s="22"/>
      <c r="X34" s="22"/>
      <c r="Y34" s="22"/>
    </row>
    <row r="35" spans="1:25">
      <c r="A35" s="54" t="s">
        <v>550</v>
      </c>
      <c r="B35" s="22" t="s">
        <v>50</v>
      </c>
      <c r="C35" s="22" t="s">
        <v>51</v>
      </c>
      <c r="D35" s="22" t="s">
        <v>52</v>
      </c>
      <c r="E35" s="22" t="s">
        <v>53</v>
      </c>
      <c r="F35" s="22" t="s">
        <v>54</v>
      </c>
      <c r="G35" s="32" t="s">
        <v>65</v>
      </c>
      <c r="H35" s="32" t="s">
        <v>66</v>
      </c>
      <c r="I35" s="22" t="s">
        <v>55</v>
      </c>
      <c r="J35" s="22" t="s">
        <v>56</v>
      </c>
      <c r="K35" s="22" t="s">
        <v>57</v>
      </c>
      <c r="L35" s="54" t="s">
        <v>105</v>
      </c>
      <c r="M35" s="22" t="s">
        <v>58</v>
      </c>
      <c r="N35" s="22" t="s">
        <v>59</v>
      </c>
      <c r="O35" s="32" t="s">
        <v>67</v>
      </c>
      <c r="P35" s="22" t="s">
        <v>60</v>
      </c>
      <c r="Q35" s="22" t="s">
        <v>61</v>
      </c>
      <c r="R35" s="32" t="s">
        <v>68</v>
      </c>
      <c r="S35" s="22" t="s">
        <v>62</v>
      </c>
      <c r="T35" s="22" t="s">
        <v>63</v>
      </c>
      <c r="U35" s="22" t="s">
        <v>64</v>
      </c>
      <c r="V35" s="22"/>
      <c r="W35" s="22"/>
      <c r="X35" s="22"/>
      <c r="Y35" s="22"/>
    </row>
    <row r="36" spans="1:25">
      <c r="A36" s="54" t="s">
        <v>554</v>
      </c>
      <c r="B36" s="22" t="s">
        <v>65</v>
      </c>
      <c r="C36" s="22" t="s">
        <v>66</v>
      </c>
      <c r="D36" s="22" t="s">
        <v>67</v>
      </c>
      <c r="E36" s="22" t="s">
        <v>68</v>
      </c>
      <c r="F36" s="22"/>
      <c r="G36" s="22"/>
      <c r="H36" s="22"/>
      <c r="I36" s="22"/>
      <c r="J36" s="22"/>
      <c r="K36" s="22"/>
      <c r="L36" s="22"/>
      <c r="M36" s="22"/>
      <c r="N36" s="22"/>
      <c r="O36" s="22"/>
      <c r="P36" s="22"/>
      <c r="Q36" s="22"/>
      <c r="R36" s="22"/>
      <c r="S36" s="22"/>
      <c r="T36" s="22"/>
      <c r="U36" s="22"/>
      <c r="V36" s="22"/>
      <c r="W36" s="22"/>
      <c r="X36" s="22"/>
      <c r="Y36" s="22"/>
    </row>
    <row r="37" spans="1:25">
      <c r="A37" s="22" t="s">
        <v>18</v>
      </c>
      <c r="B37" s="22" t="s">
        <v>93</v>
      </c>
      <c r="C37" s="22" t="s">
        <v>94</v>
      </c>
      <c r="D37" s="22" t="s">
        <v>95</v>
      </c>
      <c r="E37" s="22" t="s">
        <v>96</v>
      </c>
      <c r="F37" s="22" t="s">
        <v>97</v>
      </c>
      <c r="G37" s="22" t="s">
        <v>98</v>
      </c>
      <c r="H37" s="22" t="s">
        <v>99</v>
      </c>
      <c r="I37" s="22" t="s">
        <v>100</v>
      </c>
      <c r="J37" s="22" t="s">
        <v>101</v>
      </c>
      <c r="K37" s="22" t="s">
        <v>102</v>
      </c>
      <c r="L37" s="22" t="s">
        <v>103</v>
      </c>
      <c r="M37" s="22" t="s">
        <v>104</v>
      </c>
      <c r="N37" s="22"/>
      <c r="O37" s="22"/>
      <c r="P37" s="22"/>
      <c r="Q37" s="22"/>
      <c r="R37" s="22"/>
      <c r="S37" s="22"/>
      <c r="T37" s="22"/>
      <c r="U37" s="22"/>
      <c r="V37" s="22"/>
      <c r="W37" s="22"/>
      <c r="X37" s="22"/>
      <c r="Y37" s="22"/>
    </row>
    <row r="38" spans="1:25">
      <c r="A38" s="22" t="s">
        <v>20</v>
      </c>
      <c r="B38" s="22" t="s">
        <v>106</v>
      </c>
      <c r="C38" s="22" t="s">
        <v>107</v>
      </c>
      <c r="D38" s="22" t="s">
        <v>108</v>
      </c>
      <c r="E38" s="22" t="s">
        <v>109</v>
      </c>
      <c r="F38" s="22" t="s">
        <v>110</v>
      </c>
      <c r="G38" s="22" t="s">
        <v>111</v>
      </c>
      <c r="H38" s="22" t="s">
        <v>112</v>
      </c>
      <c r="I38" s="22" t="s">
        <v>113</v>
      </c>
      <c r="J38" s="22"/>
      <c r="K38" s="22"/>
      <c r="L38" s="22"/>
      <c r="M38" s="22"/>
      <c r="N38" s="22"/>
      <c r="O38" s="22"/>
      <c r="P38" s="22"/>
      <c r="Q38" s="22"/>
      <c r="R38" s="22"/>
      <c r="S38" s="22"/>
      <c r="T38" s="22"/>
      <c r="U38" s="22"/>
      <c r="V38" s="22"/>
      <c r="W38" s="22"/>
      <c r="X38" s="22"/>
      <c r="Y38" s="22"/>
    </row>
    <row r="39" spans="1:25">
      <c r="A39" s="22" t="s">
        <v>21</v>
      </c>
      <c r="B39" s="22" t="s">
        <v>114</v>
      </c>
      <c r="C39" s="22" t="s">
        <v>115</v>
      </c>
      <c r="D39" s="22" t="s">
        <v>116</v>
      </c>
      <c r="E39" s="22" t="s">
        <v>117</v>
      </c>
      <c r="F39" s="22" t="s">
        <v>118</v>
      </c>
      <c r="G39" s="22" t="s">
        <v>119</v>
      </c>
      <c r="H39" s="22" t="s">
        <v>120</v>
      </c>
      <c r="I39" s="22" t="s">
        <v>121</v>
      </c>
      <c r="J39" s="22" t="s">
        <v>122</v>
      </c>
      <c r="K39" s="22"/>
      <c r="L39" s="22"/>
      <c r="M39" s="22"/>
      <c r="N39" s="22"/>
      <c r="O39" s="22"/>
      <c r="P39" s="22"/>
      <c r="Q39" s="22"/>
      <c r="R39" s="22"/>
      <c r="S39" s="22"/>
      <c r="T39" s="22"/>
      <c r="U39" s="22"/>
      <c r="V39" s="22"/>
      <c r="W39" s="22"/>
      <c r="X39" s="22"/>
      <c r="Y39" s="22"/>
    </row>
    <row r="40" spans="1:25">
      <c r="A40" s="54" t="s">
        <v>295</v>
      </c>
      <c r="B40" s="22" t="s">
        <v>123</v>
      </c>
      <c r="C40" s="22" t="s">
        <v>124</v>
      </c>
      <c r="D40" s="22" t="s">
        <v>125</v>
      </c>
      <c r="E40" s="22" t="s">
        <v>126</v>
      </c>
      <c r="F40" s="22" t="s">
        <v>127</v>
      </c>
      <c r="G40" s="22" t="s">
        <v>128</v>
      </c>
      <c r="H40" s="22" t="s">
        <v>129</v>
      </c>
      <c r="I40" s="22" t="s">
        <v>130</v>
      </c>
      <c r="J40" s="22" t="s">
        <v>131</v>
      </c>
      <c r="K40" s="22" t="s">
        <v>132</v>
      </c>
      <c r="L40" s="22" t="s">
        <v>133</v>
      </c>
      <c r="M40" s="22" t="s">
        <v>134</v>
      </c>
      <c r="N40" s="22" t="s">
        <v>135</v>
      </c>
      <c r="O40" s="22" t="s">
        <v>136</v>
      </c>
      <c r="P40" s="22" t="s">
        <v>137</v>
      </c>
      <c r="Q40" s="22" t="s">
        <v>138</v>
      </c>
      <c r="R40" s="22" t="s">
        <v>139</v>
      </c>
      <c r="S40" s="22" t="s">
        <v>140</v>
      </c>
      <c r="T40" s="22" t="s">
        <v>141</v>
      </c>
      <c r="U40" s="22" t="s">
        <v>142</v>
      </c>
      <c r="V40" s="22" t="s">
        <v>143</v>
      </c>
      <c r="W40" s="22" t="s">
        <v>144</v>
      </c>
      <c r="X40" s="22" t="s">
        <v>145</v>
      </c>
      <c r="Y40" s="22"/>
    </row>
    <row r="41" spans="1:25">
      <c r="A41" s="54" t="s">
        <v>482</v>
      </c>
      <c r="B41" s="22" t="s">
        <v>74</v>
      </c>
      <c r="C41" s="22" t="s">
        <v>75</v>
      </c>
      <c r="D41" s="22" t="s">
        <v>69</v>
      </c>
      <c r="E41" s="22" t="s">
        <v>76</v>
      </c>
      <c r="F41" s="22" t="s">
        <v>70</v>
      </c>
      <c r="G41" s="22" t="s">
        <v>77</v>
      </c>
      <c r="H41" s="22" t="s">
        <v>78</v>
      </c>
      <c r="I41" s="22" t="s">
        <v>79</v>
      </c>
      <c r="J41" s="22" t="s">
        <v>80</v>
      </c>
      <c r="K41" s="22" t="s">
        <v>81</v>
      </c>
      <c r="L41" s="22" t="s">
        <v>82</v>
      </c>
      <c r="M41" s="22" t="s">
        <v>83</v>
      </c>
      <c r="N41" s="22" t="s">
        <v>84</v>
      </c>
      <c r="O41" s="22" t="s">
        <v>85</v>
      </c>
      <c r="P41" s="22" t="s">
        <v>71</v>
      </c>
      <c r="Q41" s="22" t="s">
        <v>86</v>
      </c>
      <c r="R41" s="22" t="s">
        <v>72</v>
      </c>
      <c r="S41" s="22" t="s">
        <v>87</v>
      </c>
      <c r="T41" s="22" t="s">
        <v>88</v>
      </c>
      <c r="U41" s="22" t="s">
        <v>73</v>
      </c>
      <c r="V41" s="22" t="s">
        <v>89</v>
      </c>
      <c r="W41" s="22" t="s">
        <v>90</v>
      </c>
      <c r="X41" s="22" t="s">
        <v>91</v>
      </c>
      <c r="Y41" s="22" t="s">
        <v>92</v>
      </c>
    </row>
    <row r="42" spans="1:25">
      <c r="A42" s="54" t="s">
        <v>555</v>
      </c>
      <c r="B42" s="22" t="s">
        <v>123</v>
      </c>
      <c r="C42" s="22" t="s">
        <v>124</v>
      </c>
      <c r="D42" s="22" t="s">
        <v>125</v>
      </c>
      <c r="E42" s="22" t="s">
        <v>126</v>
      </c>
      <c r="F42" s="22" t="s">
        <v>127</v>
      </c>
      <c r="G42" s="22" t="s">
        <v>128</v>
      </c>
      <c r="H42" s="22" t="s">
        <v>129</v>
      </c>
      <c r="I42" s="22" t="s">
        <v>130</v>
      </c>
      <c r="J42" s="22" t="s">
        <v>131</v>
      </c>
      <c r="K42" s="22" t="s">
        <v>132</v>
      </c>
      <c r="L42" s="22" t="s">
        <v>133</v>
      </c>
      <c r="M42" s="22" t="s">
        <v>134</v>
      </c>
      <c r="N42" s="22" t="s">
        <v>135</v>
      </c>
      <c r="O42" s="22" t="s">
        <v>136</v>
      </c>
      <c r="P42" s="22" t="s">
        <v>137</v>
      </c>
      <c r="Q42" s="22" t="s">
        <v>138</v>
      </c>
      <c r="R42" s="22" t="s">
        <v>139</v>
      </c>
      <c r="S42" s="22" t="s">
        <v>140</v>
      </c>
      <c r="T42" s="22" t="s">
        <v>141</v>
      </c>
      <c r="U42" s="22" t="s">
        <v>142</v>
      </c>
      <c r="V42" s="22" t="s">
        <v>143</v>
      </c>
      <c r="W42" s="22" t="s">
        <v>144</v>
      </c>
      <c r="X42" s="22" t="s">
        <v>145</v>
      </c>
      <c r="Y42" s="22"/>
    </row>
    <row r="44" spans="1:25">
      <c r="A44" s="23" t="s">
        <v>232</v>
      </c>
      <c r="B44" s="23" t="s">
        <v>233</v>
      </c>
    </row>
    <row r="45" spans="1:25">
      <c r="A45" s="23"/>
    </row>
    <row r="46" spans="1:25">
      <c r="A46" s="157" t="s">
        <v>231</v>
      </c>
    </row>
    <row r="47" spans="1:25">
      <c r="A47" s="1" t="s">
        <v>203</v>
      </c>
      <c r="B47" s="158" t="s">
        <v>204</v>
      </c>
    </row>
    <row r="48" spans="1:25">
      <c r="A48" s="1" t="s">
        <v>205</v>
      </c>
      <c r="B48" s="158" t="s">
        <v>204</v>
      </c>
    </row>
    <row r="49" spans="1:2">
      <c r="A49" s="1" t="s">
        <v>216</v>
      </c>
      <c r="B49" s="158" t="s">
        <v>204</v>
      </c>
    </row>
    <row r="50" spans="1:2">
      <c r="A50" s="1" t="s">
        <v>217</v>
      </c>
      <c r="B50" s="158" t="s">
        <v>204</v>
      </c>
    </row>
    <row r="51" spans="1:2">
      <c r="A51" s="1" t="s">
        <v>218</v>
      </c>
      <c r="B51" s="158" t="s">
        <v>204</v>
      </c>
    </row>
    <row r="52" spans="1:2">
      <c r="A52" s="1" t="s">
        <v>206</v>
      </c>
      <c r="B52" s="158" t="s">
        <v>204</v>
      </c>
    </row>
    <row r="53" spans="1:2">
      <c r="A53" s="1" t="s">
        <v>207</v>
      </c>
      <c r="B53" s="158" t="s">
        <v>208</v>
      </c>
    </row>
    <row r="54" spans="1:2">
      <c r="A54" s="1" t="s">
        <v>219</v>
      </c>
      <c r="B54" s="158" t="s">
        <v>204</v>
      </c>
    </row>
    <row r="55" spans="1:2">
      <c r="A55" s="1" t="s">
        <v>220</v>
      </c>
      <c r="B55" s="158" t="s">
        <v>204</v>
      </c>
    </row>
    <row r="56" spans="1:2">
      <c r="A56" s="1" t="s">
        <v>221</v>
      </c>
      <c r="B56" s="158" t="s">
        <v>204</v>
      </c>
    </row>
    <row r="57" spans="1:2">
      <c r="A57" s="1" t="s">
        <v>222</v>
      </c>
      <c r="B57" s="158" t="s">
        <v>204</v>
      </c>
    </row>
    <row r="58" spans="1:2">
      <c r="A58" s="1" t="s">
        <v>209</v>
      </c>
      <c r="B58" s="158" t="s">
        <v>204</v>
      </c>
    </row>
    <row r="59" spans="1:2">
      <c r="A59" s="1" t="s">
        <v>223</v>
      </c>
      <c r="B59" s="158" t="s">
        <v>204</v>
      </c>
    </row>
    <row r="60" spans="1:2">
      <c r="A60" s="1" t="s">
        <v>210</v>
      </c>
      <c r="B60" s="158" t="s">
        <v>204</v>
      </c>
    </row>
    <row r="61" spans="1:2">
      <c r="A61" s="1" t="s">
        <v>224</v>
      </c>
      <c r="B61" s="158" t="s">
        <v>208</v>
      </c>
    </row>
    <row r="62" spans="1:2">
      <c r="A62" s="1" t="s">
        <v>211</v>
      </c>
      <c r="B62" s="158" t="s">
        <v>204</v>
      </c>
    </row>
    <row r="63" spans="1:2">
      <c r="A63" s="1" t="s">
        <v>212</v>
      </c>
      <c r="B63" s="158" t="s">
        <v>204</v>
      </c>
    </row>
    <row r="64" spans="1:2">
      <c r="A64" s="156" t="s">
        <v>230</v>
      </c>
      <c r="B64" s="158" t="s">
        <v>204</v>
      </c>
    </row>
    <row r="65" spans="1:9">
      <c r="A65" s="1" t="s">
        <v>225</v>
      </c>
      <c r="B65" s="158" t="s">
        <v>208</v>
      </c>
    </row>
    <row r="66" spans="1:9">
      <c r="A66" s="1" t="s">
        <v>226</v>
      </c>
      <c r="B66" s="158" t="s">
        <v>204</v>
      </c>
    </row>
    <row r="67" spans="1:9">
      <c r="A67" s="1" t="s">
        <v>213</v>
      </c>
      <c r="B67" s="158" t="s">
        <v>208</v>
      </c>
    </row>
    <row r="68" spans="1:9">
      <c r="A68" s="1" t="s">
        <v>227</v>
      </c>
      <c r="B68" s="158" t="s">
        <v>204</v>
      </c>
    </row>
    <row r="69" spans="1:9">
      <c r="A69" s="1" t="s">
        <v>228</v>
      </c>
      <c r="B69" s="158" t="s">
        <v>204</v>
      </c>
    </row>
    <row r="70" spans="1:9">
      <c r="A70" s="1" t="s">
        <v>214</v>
      </c>
      <c r="B70" s="158" t="s">
        <v>204</v>
      </c>
    </row>
    <row r="71" spans="1:9">
      <c r="A71" s="1" t="s">
        <v>215</v>
      </c>
      <c r="B71" s="158" t="s">
        <v>204</v>
      </c>
    </row>
    <row r="72" spans="1:9">
      <c r="A72" s="1" t="s">
        <v>229</v>
      </c>
      <c r="B72" s="158" t="s">
        <v>204</v>
      </c>
    </row>
    <row r="74" spans="1:9" ht="13.5" thickBot="1">
      <c r="A74" s="183" t="s">
        <v>462</v>
      </c>
      <c r="B74" s="159">
        <v>2</v>
      </c>
      <c r="C74" s="159">
        <v>3</v>
      </c>
      <c r="D74" s="159">
        <v>4</v>
      </c>
      <c r="E74" s="159">
        <v>5</v>
      </c>
      <c r="F74" s="159">
        <v>6</v>
      </c>
      <c r="G74" s="159">
        <v>7</v>
      </c>
    </row>
    <row r="75" spans="1:9">
      <c r="A75" s="160"/>
      <c r="B75" s="161" t="s">
        <v>234</v>
      </c>
      <c r="C75" s="162"/>
      <c r="D75" s="163"/>
      <c r="E75" s="164" t="s">
        <v>235</v>
      </c>
      <c r="F75" s="165" t="s">
        <v>235</v>
      </c>
      <c r="G75" s="166" t="s">
        <v>236</v>
      </c>
    </row>
    <row r="76" spans="1:9">
      <c r="A76" s="160"/>
      <c r="B76" s="167" t="s">
        <v>237</v>
      </c>
      <c r="C76" s="168"/>
      <c r="D76" s="169"/>
      <c r="E76" s="170" t="s">
        <v>238</v>
      </c>
      <c r="F76" s="171" t="s">
        <v>239</v>
      </c>
      <c r="G76" s="172" t="s">
        <v>240</v>
      </c>
    </row>
    <row r="77" spans="1:9" ht="13.5" thickBot="1">
      <c r="A77" s="182" t="s">
        <v>45</v>
      </c>
      <c r="B77" s="173" t="s">
        <v>238</v>
      </c>
      <c r="C77" s="174" t="s">
        <v>239</v>
      </c>
      <c r="D77" s="175" t="s">
        <v>241</v>
      </c>
      <c r="E77" s="176">
        <v>0.152</v>
      </c>
      <c r="F77" s="177">
        <v>0.1033</v>
      </c>
      <c r="G77" s="178" t="s">
        <v>241</v>
      </c>
    </row>
    <row r="78" spans="1:9">
      <c r="A78" s="1" t="s">
        <v>13</v>
      </c>
      <c r="B78" s="201">
        <v>151023</v>
      </c>
      <c r="C78" s="211">
        <v>144897</v>
      </c>
      <c r="D78" s="206">
        <f>SUM(B78:C78)</f>
        <v>295920</v>
      </c>
      <c r="E78" s="201">
        <f t="shared" ref="E78:E87" si="0">ROUND(B78*$E$77,0)</f>
        <v>22955</v>
      </c>
      <c r="F78" s="216">
        <f t="shared" ref="F78:F87" si="1">ROUND(C78*$F$77,0)</f>
        <v>14968</v>
      </c>
      <c r="G78" s="179">
        <f>SUM(E78:F78)</f>
        <v>37923</v>
      </c>
    </row>
    <row r="79" spans="1:9">
      <c r="A79" s="54" t="s">
        <v>14</v>
      </c>
      <c r="B79" s="202">
        <v>116018</v>
      </c>
      <c r="C79" s="212">
        <v>119978</v>
      </c>
      <c r="D79" s="207">
        <f t="shared" ref="D79" si="2">SUM(B79:C79)</f>
        <v>235996</v>
      </c>
      <c r="E79" s="202">
        <f t="shared" si="0"/>
        <v>17635</v>
      </c>
      <c r="F79" s="217">
        <f t="shared" si="1"/>
        <v>12394</v>
      </c>
      <c r="G79" s="180">
        <f t="shared" ref="G79:G86" si="3">SUM(E79:F79)</f>
        <v>30029</v>
      </c>
      <c r="I79" s="447" t="s">
        <v>480</v>
      </c>
    </row>
    <row r="80" spans="1:9">
      <c r="A80" s="1" t="s">
        <v>15</v>
      </c>
      <c r="B80" s="202">
        <v>42167</v>
      </c>
      <c r="C80" s="212">
        <v>43223</v>
      </c>
      <c r="D80" s="207">
        <f t="shared" ref="D80:D86" si="4">SUM(B80:C80)</f>
        <v>85390</v>
      </c>
      <c r="E80" s="202">
        <f t="shared" si="0"/>
        <v>6409</v>
      </c>
      <c r="F80" s="217">
        <f t="shared" si="1"/>
        <v>4465</v>
      </c>
      <c r="G80" s="180">
        <f t="shared" si="3"/>
        <v>10874</v>
      </c>
    </row>
    <row r="81" spans="1:9">
      <c r="A81" s="1" t="s">
        <v>16</v>
      </c>
      <c r="B81" s="202">
        <v>44762</v>
      </c>
      <c r="C81" s="212">
        <v>42190</v>
      </c>
      <c r="D81" s="207">
        <f t="shared" si="4"/>
        <v>86952</v>
      </c>
      <c r="E81" s="202">
        <f t="shared" si="0"/>
        <v>6804</v>
      </c>
      <c r="F81" s="217">
        <f t="shared" si="1"/>
        <v>4358</v>
      </c>
      <c r="G81" s="180">
        <f t="shared" si="3"/>
        <v>11162</v>
      </c>
    </row>
    <row r="82" spans="1:9">
      <c r="A82" s="1" t="s">
        <v>17</v>
      </c>
      <c r="B82" s="203">
        <v>44639</v>
      </c>
      <c r="C82" s="213">
        <v>44273</v>
      </c>
      <c r="D82" s="208">
        <f t="shared" si="4"/>
        <v>88912</v>
      </c>
      <c r="E82" s="203">
        <f t="shared" si="0"/>
        <v>6785</v>
      </c>
      <c r="F82" s="218">
        <f t="shared" si="1"/>
        <v>4573</v>
      </c>
      <c r="G82" s="181">
        <f t="shared" si="3"/>
        <v>11358</v>
      </c>
    </row>
    <row r="83" spans="1:9">
      <c r="A83" s="1" t="s">
        <v>18</v>
      </c>
      <c r="B83" s="202">
        <v>66612</v>
      </c>
      <c r="C83" s="212">
        <v>68774</v>
      </c>
      <c r="D83" s="207">
        <f t="shared" si="4"/>
        <v>135386</v>
      </c>
      <c r="E83" s="202">
        <f t="shared" si="0"/>
        <v>10125</v>
      </c>
      <c r="F83" s="217">
        <f t="shared" si="1"/>
        <v>7104</v>
      </c>
      <c r="G83" s="180">
        <f t="shared" si="3"/>
        <v>17229</v>
      </c>
    </row>
    <row r="84" spans="1:9">
      <c r="A84" s="54" t="s">
        <v>479</v>
      </c>
      <c r="B84" s="202">
        <v>83026</v>
      </c>
      <c r="C84" s="212">
        <v>75907</v>
      </c>
      <c r="D84" s="207">
        <f t="shared" si="4"/>
        <v>158933</v>
      </c>
      <c r="E84" s="202">
        <f t="shared" si="0"/>
        <v>12620</v>
      </c>
      <c r="F84" s="217">
        <f t="shared" si="1"/>
        <v>7841</v>
      </c>
      <c r="G84" s="180">
        <f t="shared" si="3"/>
        <v>20461</v>
      </c>
    </row>
    <row r="85" spans="1:9">
      <c r="A85" s="1" t="s">
        <v>20</v>
      </c>
      <c r="B85" s="202">
        <v>69571</v>
      </c>
      <c r="C85" s="212">
        <v>75764</v>
      </c>
      <c r="D85" s="207">
        <f t="shared" si="4"/>
        <v>145335</v>
      </c>
      <c r="E85" s="202">
        <f t="shared" si="0"/>
        <v>10575</v>
      </c>
      <c r="F85" s="217">
        <f t="shared" si="1"/>
        <v>7826</v>
      </c>
      <c r="G85" s="180">
        <f t="shared" si="3"/>
        <v>18401</v>
      </c>
    </row>
    <row r="86" spans="1:9">
      <c r="A86" s="1" t="s">
        <v>21</v>
      </c>
      <c r="B86" s="202">
        <v>86029</v>
      </c>
      <c r="C86" s="212">
        <v>88198</v>
      </c>
      <c r="D86" s="207">
        <f t="shared" si="4"/>
        <v>174227</v>
      </c>
      <c r="E86" s="202">
        <f t="shared" si="0"/>
        <v>13076</v>
      </c>
      <c r="F86" s="217">
        <f t="shared" si="1"/>
        <v>9111</v>
      </c>
      <c r="G86" s="180">
        <f t="shared" si="3"/>
        <v>22187</v>
      </c>
    </row>
    <row r="87" spans="1:9" ht="13.5" thickBot="1">
      <c r="A87" s="445" t="s">
        <v>295</v>
      </c>
      <c r="B87" s="204">
        <v>70484</v>
      </c>
      <c r="C87" s="214">
        <v>74978</v>
      </c>
      <c r="D87" s="209">
        <f>SUM(B87:C87)</f>
        <v>145462</v>
      </c>
      <c r="E87" s="204">
        <f t="shared" si="0"/>
        <v>10714</v>
      </c>
      <c r="F87" s="219">
        <f t="shared" si="1"/>
        <v>7745</v>
      </c>
      <c r="G87" s="184">
        <f>SUM(E87:F87)</f>
        <v>18459</v>
      </c>
      <c r="I87" s="445" t="s">
        <v>468</v>
      </c>
    </row>
    <row r="88" spans="1:9" ht="15" customHeight="1" thickBot="1">
      <c r="A88" s="185" t="s">
        <v>242</v>
      </c>
      <c r="B88" s="205">
        <f>SUM(B78:B87)</f>
        <v>774331</v>
      </c>
      <c r="C88" s="215">
        <f t="shared" ref="C88:G88" si="5">SUM(C78:C87)</f>
        <v>778182</v>
      </c>
      <c r="D88" s="210">
        <f t="shared" si="5"/>
        <v>1552513</v>
      </c>
      <c r="E88" s="205">
        <f t="shared" si="5"/>
        <v>117698</v>
      </c>
      <c r="F88" s="220">
        <f t="shared" si="5"/>
        <v>80385</v>
      </c>
      <c r="G88" s="186">
        <f t="shared" si="5"/>
        <v>198083</v>
      </c>
    </row>
    <row r="90" spans="1:9" ht="13.5" thickBot="1">
      <c r="A90" s="183" t="s">
        <v>464</v>
      </c>
      <c r="B90" s="159">
        <v>2</v>
      </c>
      <c r="C90" s="159">
        <v>3</v>
      </c>
      <c r="D90" s="159">
        <v>4</v>
      </c>
      <c r="E90" s="159">
        <v>5</v>
      </c>
      <c r="F90" s="159">
        <v>6</v>
      </c>
      <c r="G90" s="159">
        <v>7</v>
      </c>
    </row>
    <row r="91" spans="1:9">
      <c r="A91" s="160"/>
      <c r="B91" s="444" t="s">
        <v>463</v>
      </c>
      <c r="C91" s="162"/>
      <c r="D91" s="163"/>
      <c r="E91" s="164" t="s">
        <v>235</v>
      </c>
      <c r="F91" s="165" t="s">
        <v>235</v>
      </c>
      <c r="G91" s="166" t="s">
        <v>236</v>
      </c>
    </row>
    <row r="92" spans="1:9">
      <c r="A92" s="160"/>
      <c r="B92" s="167" t="s">
        <v>237</v>
      </c>
      <c r="C92" s="168"/>
      <c r="D92" s="169"/>
      <c r="E92" s="170" t="s">
        <v>238</v>
      </c>
      <c r="F92" s="171" t="s">
        <v>239</v>
      </c>
      <c r="G92" s="172" t="s">
        <v>240</v>
      </c>
    </row>
    <row r="93" spans="1:9" ht="13.5" thickBot="1">
      <c r="A93" s="182" t="s">
        <v>45</v>
      </c>
      <c r="B93" s="173" t="s">
        <v>238</v>
      </c>
      <c r="C93" s="174" t="s">
        <v>239</v>
      </c>
      <c r="D93" s="175" t="s">
        <v>241</v>
      </c>
      <c r="E93" s="176">
        <v>0.125</v>
      </c>
      <c r="F93" s="177">
        <v>9.6500000000000002E-2</v>
      </c>
      <c r="G93" s="178" t="s">
        <v>241</v>
      </c>
    </row>
    <row r="94" spans="1:9">
      <c r="A94" s="1" t="s">
        <v>13</v>
      </c>
      <c r="B94" s="201">
        <v>152471</v>
      </c>
      <c r="C94" s="211">
        <v>148137</v>
      </c>
      <c r="D94" s="206">
        <f>SUM(B94:C94)</f>
        <v>300608</v>
      </c>
      <c r="E94" s="201">
        <f t="shared" ref="E94:E102" si="6">ROUND(B94*$E$93,0)</f>
        <v>19059</v>
      </c>
      <c r="F94" s="216">
        <f t="shared" ref="F94:F102" si="7">ROUND(C94*$F$93,0)</f>
        <v>14295</v>
      </c>
      <c r="G94" s="179">
        <f>SUM(E94:F94)</f>
        <v>33354</v>
      </c>
    </row>
    <row r="95" spans="1:9">
      <c r="A95" s="54" t="s">
        <v>14</v>
      </c>
      <c r="B95" s="202">
        <v>199798</v>
      </c>
      <c r="C95" s="212">
        <v>200212</v>
      </c>
      <c r="D95" s="207">
        <f t="shared" ref="D95:D101" si="8">SUM(B95:C95)</f>
        <v>400010</v>
      </c>
      <c r="E95" s="202">
        <f t="shared" si="6"/>
        <v>24975</v>
      </c>
      <c r="F95" s="217">
        <f t="shared" si="7"/>
        <v>19320</v>
      </c>
      <c r="G95" s="180">
        <f t="shared" ref="G95:G101" si="9">SUM(E95:F95)</f>
        <v>44295</v>
      </c>
      <c r="I95" s="447" t="s">
        <v>481</v>
      </c>
    </row>
    <row r="96" spans="1:9">
      <c r="A96" s="1" t="s">
        <v>15</v>
      </c>
      <c r="B96" s="202">
        <v>42106</v>
      </c>
      <c r="C96" s="212">
        <v>43212</v>
      </c>
      <c r="D96" s="207">
        <f t="shared" si="8"/>
        <v>85318</v>
      </c>
      <c r="E96" s="202">
        <f t="shared" si="6"/>
        <v>5263</v>
      </c>
      <c r="F96" s="217">
        <f t="shared" si="7"/>
        <v>4170</v>
      </c>
      <c r="G96" s="180">
        <f t="shared" si="9"/>
        <v>9433</v>
      </c>
    </row>
    <row r="97" spans="1:9">
      <c r="A97" s="1" t="s">
        <v>16</v>
      </c>
      <c r="B97" s="202">
        <v>46459</v>
      </c>
      <c r="C97" s="212">
        <v>43045</v>
      </c>
      <c r="D97" s="207">
        <f t="shared" si="8"/>
        <v>89504</v>
      </c>
      <c r="E97" s="202">
        <f t="shared" si="6"/>
        <v>5807</v>
      </c>
      <c r="F97" s="217">
        <f t="shared" si="7"/>
        <v>4154</v>
      </c>
      <c r="G97" s="180">
        <f t="shared" si="9"/>
        <v>9961</v>
      </c>
    </row>
    <row r="98" spans="1:9">
      <c r="A98" s="1" t="s">
        <v>17</v>
      </c>
      <c r="B98" s="203">
        <v>45147</v>
      </c>
      <c r="C98" s="213">
        <v>44173</v>
      </c>
      <c r="D98" s="208">
        <f t="shared" si="8"/>
        <v>89320</v>
      </c>
      <c r="E98" s="203">
        <f t="shared" si="6"/>
        <v>5643</v>
      </c>
      <c r="F98" s="218">
        <f t="shared" si="7"/>
        <v>4263</v>
      </c>
      <c r="G98" s="181">
        <f t="shared" si="9"/>
        <v>9906</v>
      </c>
    </row>
    <row r="99" spans="1:9">
      <c r="A99" s="1" t="s">
        <v>18</v>
      </c>
      <c r="B99" s="202">
        <v>66147</v>
      </c>
      <c r="C99" s="212">
        <v>68379</v>
      </c>
      <c r="D99" s="207">
        <f t="shared" si="8"/>
        <v>134526</v>
      </c>
      <c r="E99" s="202">
        <f t="shared" si="6"/>
        <v>8268</v>
      </c>
      <c r="F99" s="217">
        <f t="shared" si="7"/>
        <v>6599</v>
      </c>
      <c r="G99" s="180">
        <f t="shared" si="9"/>
        <v>14867</v>
      </c>
    </row>
    <row r="100" spans="1:9">
      <c r="A100" s="1" t="s">
        <v>20</v>
      </c>
      <c r="B100" s="202">
        <v>69037</v>
      </c>
      <c r="C100" s="212">
        <v>75331</v>
      </c>
      <c r="D100" s="207">
        <f t="shared" si="8"/>
        <v>144368</v>
      </c>
      <c r="E100" s="202">
        <f t="shared" si="6"/>
        <v>8630</v>
      </c>
      <c r="F100" s="217">
        <f t="shared" si="7"/>
        <v>7269</v>
      </c>
      <c r="G100" s="180">
        <f t="shared" si="9"/>
        <v>15899</v>
      </c>
    </row>
    <row r="101" spans="1:9">
      <c r="A101" s="1" t="s">
        <v>21</v>
      </c>
      <c r="B101" s="202">
        <v>86293</v>
      </c>
      <c r="C101" s="212">
        <v>88626</v>
      </c>
      <c r="D101" s="207">
        <f t="shared" si="8"/>
        <v>174919</v>
      </c>
      <c r="E101" s="202">
        <f t="shared" si="6"/>
        <v>10787</v>
      </c>
      <c r="F101" s="217">
        <f t="shared" si="7"/>
        <v>8552</v>
      </c>
      <c r="G101" s="180">
        <f t="shared" si="9"/>
        <v>19339</v>
      </c>
    </row>
    <row r="102" spans="1:9" ht="13.5" thickBot="1">
      <c r="A102" s="445" t="s">
        <v>295</v>
      </c>
      <c r="B102" s="204">
        <v>70498</v>
      </c>
      <c r="C102" s="214">
        <v>74916</v>
      </c>
      <c r="D102" s="209">
        <f>SUM(B102:C102)</f>
        <v>145414</v>
      </c>
      <c r="E102" s="204">
        <f t="shared" si="6"/>
        <v>8812</v>
      </c>
      <c r="F102" s="219">
        <f t="shared" si="7"/>
        <v>7229</v>
      </c>
      <c r="G102" s="184">
        <f>SUM(E102:F102)</f>
        <v>16041</v>
      </c>
      <c r="I102" s="445" t="s">
        <v>468</v>
      </c>
    </row>
    <row r="103" spans="1:9" ht="15" customHeight="1" thickBot="1">
      <c r="A103" s="185" t="s">
        <v>242</v>
      </c>
      <c r="B103" s="205">
        <f>SUM(B94:B102)</f>
        <v>777956</v>
      </c>
      <c r="C103" s="215">
        <f>SUM(C94:C102)</f>
        <v>786031</v>
      </c>
      <c r="D103" s="210">
        <f>SUM(D94:D102)</f>
        <v>1563987</v>
      </c>
      <c r="E103" s="205">
        <f>SUM(E94:E102)</f>
        <v>97244</v>
      </c>
      <c r="F103" s="220">
        <f>SUM(F94:F102)</f>
        <v>75851</v>
      </c>
      <c r="G103" s="186">
        <f t="shared" ref="G103" si="10">SUM(G94:G102)</f>
        <v>173095</v>
      </c>
    </row>
    <row r="105" spans="1:9" ht="13.5" thickBot="1">
      <c r="A105" s="183" t="s">
        <v>484</v>
      </c>
      <c r="B105" s="159">
        <v>2</v>
      </c>
      <c r="C105" s="159">
        <v>3</v>
      </c>
      <c r="D105" s="159">
        <v>4</v>
      </c>
      <c r="E105" s="159">
        <v>5</v>
      </c>
      <c r="F105" s="159">
        <v>6</v>
      </c>
      <c r="G105" s="159">
        <v>7</v>
      </c>
    </row>
    <row r="106" spans="1:9">
      <c r="A106" s="160"/>
      <c r="B106" s="444" t="s">
        <v>485</v>
      </c>
      <c r="C106" s="162"/>
      <c r="D106" s="163"/>
      <c r="E106" s="164" t="s">
        <v>235</v>
      </c>
      <c r="F106" s="165" t="s">
        <v>235</v>
      </c>
      <c r="G106" s="166" t="s">
        <v>236</v>
      </c>
    </row>
    <row r="107" spans="1:9">
      <c r="A107" s="160"/>
      <c r="B107" s="167" t="s">
        <v>237</v>
      </c>
      <c r="C107" s="168"/>
      <c r="D107" s="169"/>
      <c r="E107" s="170" t="s">
        <v>238</v>
      </c>
      <c r="F107" s="171" t="s">
        <v>239</v>
      </c>
      <c r="G107" s="172" t="s">
        <v>240</v>
      </c>
    </row>
    <row r="108" spans="1:9" ht="13.5" thickBot="1">
      <c r="A108" s="182" t="s">
        <v>45</v>
      </c>
      <c r="B108" s="173" t="s">
        <v>238</v>
      </c>
      <c r="C108" s="174" t="s">
        <v>239</v>
      </c>
      <c r="D108" s="175" t="s">
        <v>241</v>
      </c>
      <c r="E108" s="176">
        <v>0.125</v>
      </c>
      <c r="F108" s="177">
        <v>8.7400000000000005E-2</v>
      </c>
      <c r="G108" s="178" t="s">
        <v>241</v>
      </c>
    </row>
    <row r="109" spans="1:9">
      <c r="A109" s="1" t="s">
        <v>13</v>
      </c>
      <c r="B109" s="201">
        <v>154354</v>
      </c>
      <c r="C109" s="211">
        <v>151286</v>
      </c>
      <c r="D109" s="206">
        <f t="shared" ref="D109:D116" si="11">SUM(B109:C109)</f>
        <v>305640</v>
      </c>
      <c r="E109" s="201">
        <f t="shared" ref="E109:E116" si="12">ROUND(B109*$E$108,0)</f>
        <v>19294</v>
      </c>
      <c r="F109" s="216">
        <f t="shared" ref="F109:F116" si="13">ROUND(C109*$F$108,0)</f>
        <v>13222</v>
      </c>
      <c r="G109" s="179">
        <f t="shared" ref="G109:G116" si="14">SUM(E109:F109)</f>
        <v>32516</v>
      </c>
    </row>
    <row r="110" spans="1:9">
      <c r="A110" s="54" t="s">
        <v>14</v>
      </c>
      <c r="B110" s="202">
        <v>199803</v>
      </c>
      <c r="C110" s="212">
        <v>203761</v>
      </c>
      <c r="D110" s="207">
        <f t="shared" si="11"/>
        <v>403564</v>
      </c>
      <c r="E110" s="202">
        <f t="shared" si="12"/>
        <v>24975</v>
      </c>
      <c r="F110" s="217">
        <f t="shared" si="13"/>
        <v>17809</v>
      </c>
      <c r="G110" s="180">
        <f t="shared" si="14"/>
        <v>42784</v>
      </c>
      <c r="I110" s="447" t="s">
        <v>481</v>
      </c>
    </row>
    <row r="111" spans="1:9">
      <c r="A111" s="1" t="s">
        <v>15</v>
      </c>
      <c r="B111" s="202">
        <v>41914</v>
      </c>
      <c r="C111" s="212">
        <v>43108</v>
      </c>
      <c r="D111" s="207">
        <f t="shared" si="11"/>
        <v>85022</v>
      </c>
      <c r="E111" s="202">
        <f t="shared" si="12"/>
        <v>5239</v>
      </c>
      <c r="F111" s="217">
        <f t="shared" si="13"/>
        <v>3768</v>
      </c>
      <c r="G111" s="180">
        <f t="shared" si="14"/>
        <v>9007</v>
      </c>
    </row>
    <row r="112" spans="1:9">
      <c r="A112" s="1" t="s">
        <v>18</v>
      </c>
      <c r="B112" s="202">
        <v>66174</v>
      </c>
      <c r="C112" s="212">
        <v>68062</v>
      </c>
      <c r="D112" s="207">
        <f t="shared" si="11"/>
        <v>134236</v>
      </c>
      <c r="E112" s="202">
        <f t="shared" si="12"/>
        <v>8272</v>
      </c>
      <c r="F112" s="217">
        <f t="shared" si="13"/>
        <v>5949</v>
      </c>
      <c r="G112" s="180">
        <f t="shared" si="14"/>
        <v>14221</v>
      </c>
    </row>
    <row r="113" spans="1:9">
      <c r="A113" s="1" t="s">
        <v>20</v>
      </c>
      <c r="B113" s="202">
        <v>68654</v>
      </c>
      <c r="C113" s="212">
        <v>75039</v>
      </c>
      <c r="D113" s="207">
        <f t="shared" si="11"/>
        <v>143693</v>
      </c>
      <c r="E113" s="202">
        <f t="shared" si="12"/>
        <v>8582</v>
      </c>
      <c r="F113" s="217">
        <f t="shared" si="13"/>
        <v>6558</v>
      </c>
      <c r="G113" s="180">
        <f t="shared" si="14"/>
        <v>15140</v>
      </c>
    </row>
    <row r="114" spans="1:9">
      <c r="A114" s="1" t="s">
        <v>21</v>
      </c>
      <c r="B114" s="202">
        <v>86649</v>
      </c>
      <c r="C114" s="212">
        <v>89415</v>
      </c>
      <c r="D114" s="207">
        <f t="shared" si="11"/>
        <v>176064</v>
      </c>
      <c r="E114" s="202">
        <f t="shared" si="12"/>
        <v>10831</v>
      </c>
      <c r="F114" s="217">
        <f t="shared" si="13"/>
        <v>7815</v>
      </c>
      <c r="G114" s="180">
        <f t="shared" si="14"/>
        <v>18646</v>
      </c>
    </row>
    <row r="115" spans="1:9">
      <c r="A115" s="445" t="s">
        <v>295</v>
      </c>
      <c r="B115" s="202">
        <v>70202</v>
      </c>
      <c r="C115" s="212">
        <v>75009</v>
      </c>
      <c r="D115" s="207">
        <f t="shared" si="11"/>
        <v>145211</v>
      </c>
      <c r="E115" s="202">
        <f t="shared" si="12"/>
        <v>8775</v>
      </c>
      <c r="F115" s="217">
        <f t="shared" si="13"/>
        <v>6556</v>
      </c>
      <c r="G115" s="180">
        <f t="shared" si="14"/>
        <v>15331</v>
      </c>
      <c r="I115" s="445" t="s">
        <v>468</v>
      </c>
    </row>
    <row r="116" spans="1:9" ht="13.5" thickBot="1">
      <c r="A116" s="448" t="s">
        <v>482</v>
      </c>
      <c r="B116" s="449">
        <v>94226</v>
      </c>
      <c r="C116" s="450">
        <v>87970</v>
      </c>
      <c r="D116" s="451">
        <f t="shared" si="11"/>
        <v>182196</v>
      </c>
      <c r="E116" s="449">
        <f t="shared" si="12"/>
        <v>11778</v>
      </c>
      <c r="F116" s="452">
        <f t="shared" si="13"/>
        <v>7689</v>
      </c>
      <c r="G116" s="453">
        <f t="shared" si="14"/>
        <v>19467</v>
      </c>
      <c r="I116" s="448" t="s">
        <v>483</v>
      </c>
    </row>
    <row r="117" spans="1:9" ht="15" customHeight="1" thickBot="1">
      <c r="A117" s="185" t="s">
        <v>242</v>
      </c>
      <c r="B117" s="205">
        <f t="shared" ref="B117:G117" si="15">SUM(B109:B116)</f>
        <v>781976</v>
      </c>
      <c r="C117" s="215">
        <f t="shared" si="15"/>
        <v>793650</v>
      </c>
      <c r="D117" s="210">
        <f t="shared" si="15"/>
        <v>1575626</v>
      </c>
      <c r="E117" s="205">
        <f t="shared" si="15"/>
        <v>97746</v>
      </c>
      <c r="F117" s="220">
        <f t="shared" si="15"/>
        <v>69366</v>
      </c>
      <c r="G117" s="186">
        <f t="shared" si="15"/>
        <v>167112</v>
      </c>
    </row>
    <row r="119" spans="1:9" ht="13.5" thickBot="1">
      <c r="A119" s="183" t="s">
        <v>557</v>
      </c>
      <c r="B119" s="159">
        <v>2</v>
      </c>
      <c r="C119" s="159">
        <v>3</v>
      </c>
      <c r="D119" s="159">
        <v>4</v>
      </c>
      <c r="E119" s="159">
        <v>5</v>
      </c>
      <c r="F119" s="159">
        <v>6</v>
      </c>
      <c r="G119" s="159">
        <v>7</v>
      </c>
    </row>
    <row r="120" spans="1:9">
      <c r="A120" s="160"/>
      <c r="B120" s="444" t="s">
        <v>558</v>
      </c>
      <c r="C120" s="162"/>
      <c r="D120" s="163"/>
      <c r="E120" s="164" t="s">
        <v>235</v>
      </c>
      <c r="F120" s="165" t="s">
        <v>235</v>
      </c>
      <c r="G120" s="166" t="s">
        <v>236</v>
      </c>
    </row>
    <row r="121" spans="1:9">
      <c r="A121" s="160"/>
      <c r="B121" s="167" t="s">
        <v>237</v>
      </c>
      <c r="C121" s="168"/>
      <c r="D121" s="169"/>
      <c r="E121" s="170" t="s">
        <v>238</v>
      </c>
      <c r="F121" s="171" t="s">
        <v>239</v>
      </c>
      <c r="G121" s="172" t="s">
        <v>240</v>
      </c>
    </row>
    <row r="122" spans="1:9" ht="13.5" thickBot="1">
      <c r="A122" s="182" t="s">
        <v>45</v>
      </c>
      <c r="B122" s="173" t="s">
        <v>238</v>
      </c>
      <c r="C122" s="174" t="s">
        <v>239</v>
      </c>
      <c r="D122" s="175" t="s">
        <v>241</v>
      </c>
      <c r="E122" s="176">
        <v>8.4000000000000005E-2</v>
      </c>
      <c r="F122" s="177">
        <v>5.1999999999999998E-2</v>
      </c>
      <c r="G122" s="178" t="s">
        <v>241</v>
      </c>
    </row>
    <row r="123" spans="1:9">
      <c r="A123" s="1" t="s">
        <v>13</v>
      </c>
      <c r="B123" s="201">
        <v>155473</v>
      </c>
      <c r="C123" s="211">
        <v>153874</v>
      </c>
      <c r="D123" s="206">
        <f t="shared" ref="D123:D129" si="16">SUM(B123:C123)</f>
        <v>309347</v>
      </c>
      <c r="E123" s="201">
        <f t="shared" ref="E123:E129" si="17">ROUND(B123*$E$108,0)</f>
        <v>19434</v>
      </c>
      <c r="F123" s="216">
        <f t="shared" ref="F123:F129" si="18">ROUND(C123*$F$108,0)</f>
        <v>13449</v>
      </c>
      <c r="G123" s="179">
        <f t="shared" ref="G123:G129" si="19">SUM(E123:F123)</f>
        <v>32883</v>
      </c>
    </row>
    <row r="124" spans="1:9">
      <c r="A124" s="54" t="s">
        <v>14</v>
      </c>
      <c r="B124" s="202">
        <v>241518</v>
      </c>
      <c r="C124" s="212">
        <v>251467</v>
      </c>
      <c r="D124" s="207">
        <f t="shared" si="16"/>
        <v>492985</v>
      </c>
      <c r="E124" s="202">
        <f t="shared" si="17"/>
        <v>30190</v>
      </c>
      <c r="F124" s="217">
        <f t="shared" si="18"/>
        <v>21978</v>
      </c>
      <c r="G124" s="180">
        <f t="shared" si="19"/>
        <v>52168</v>
      </c>
      <c r="I124" s="528" t="s">
        <v>559</v>
      </c>
    </row>
    <row r="125" spans="1:9">
      <c r="A125" s="1" t="s">
        <v>18</v>
      </c>
      <c r="B125" s="202">
        <v>65755</v>
      </c>
      <c r="C125" s="212">
        <v>67248</v>
      </c>
      <c r="D125" s="207">
        <f t="shared" si="16"/>
        <v>133003</v>
      </c>
      <c r="E125" s="202">
        <f t="shared" si="17"/>
        <v>8219</v>
      </c>
      <c r="F125" s="217">
        <f t="shared" si="18"/>
        <v>5877</v>
      </c>
      <c r="G125" s="180">
        <f t="shared" si="19"/>
        <v>14096</v>
      </c>
    </row>
    <row r="126" spans="1:9">
      <c r="A126" s="1" t="s">
        <v>20</v>
      </c>
      <c r="B126" s="202">
        <v>68015</v>
      </c>
      <c r="C126" s="212">
        <v>75234</v>
      </c>
      <c r="D126" s="207">
        <f t="shared" si="16"/>
        <v>143249</v>
      </c>
      <c r="E126" s="202">
        <f t="shared" si="17"/>
        <v>8502</v>
      </c>
      <c r="F126" s="217">
        <f t="shared" si="18"/>
        <v>6575</v>
      </c>
      <c r="G126" s="180">
        <f t="shared" si="19"/>
        <v>15077</v>
      </c>
    </row>
    <row r="127" spans="1:9">
      <c r="A127" s="1" t="s">
        <v>21</v>
      </c>
      <c r="B127" s="202">
        <v>86395</v>
      </c>
      <c r="C127" s="212">
        <v>89471</v>
      </c>
      <c r="D127" s="207">
        <f t="shared" si="16"/>
        <v>175866</v>
      </c>
      <c r="E127" s="202">
        <f t="shared" si="17"/>
        <v>10799</v>
      </c>
      <c r="F127" s="217">
        <f t="shared" si="18"/>
        <v>7820</v>
      </c>
      <c r="G127" s="180">
        <f t="shared" si="19"/>
        <v>18619</v>
      </c>
    </row>
    <row r="128" spans="1:9">
      <c r="A128" s="528" t="s">
        <v>555</v>
      </c>
      <c r="B128" s="202">
        <v>70033</v>
      </c>
      <c r="C128" s="212">
        <v>75384</v>
      </c>
      <c r="D128" s="207">
        <f t="shared" si="16"/>
        <v>145417</v>
      </c>
      <c r="E128" s="202">
        <f t="shared" si="17"/>
        <v>8754</v>
      </c>
      <c r="F128" s="217">
        <f t="shared" si="18"/>
        <v>6589</v>
      </c>
      <c r="G128" s="180">
        <f t="shared" si="19"/>
        <v>15343</v>
      </c>
      <c r="I128" s="528" t="s">
        <v>560</v>
      </c>
    </row>
    <row r="129" spans="1:9" ht="13.5" thickBot="1">
      <c r="A129" s="448" t="s">
        <v>482</v>
      </c>
      <c r="B129" s="449">
        <v>95548</v>
      </c>
      <c r="C129" s="450">
        <v>87737</v>
      </c>
      <c r="D129" s="451">
        <f t="shared" si="16"/>
        <v>183285</v>
      </c>
      <c r="E129" s="449">
        <f t="shared" si="17"/>
        <v>11944</v>
      </c>
      <c r="F129" s="452">
        <f t="shared" si="18"/>
        <v>7668</v>
      </c>
      <c r="G129" s="453">
        <f t="shared" si="19"/>
        <v>19612</v>
      </c>
      <c r="I129" s="448"/>
    </row>
    <row r="130" spans="1:9" ht="15" customHeight="1" thickBot="1">
      <c r="A130" s="185" t="s">
        <v>242</v>
      </c>
      <c r="B130" s="205">
        <f>SUM(B123:B129)</f>
        <v>782737</v>
      </c>
      <c r="C130" s="215">
        <f>SUM(C123:C129)</f>
        <v>800415</v>
      </c>
      <c r="D130" s="210">
        <f>SUM(D123:D129)</f>
        <v>1583152</v>
      </c>
      <c r="E130" s="205">
        <f>SUM(E123:E129)</f>
        <v>97842</v>
      </c>
      <c r="F130" s="220">
        <f>SUM(F123:F129)</f>
        <v>69956</v>
      </c>
      <c r="G130" s="186">
        <f>SUM(G123:G129)</f>
        <v>167798</v>
      </c>
    </row>
  </sheetData>
  <sheetProtection sheet="1" objects="1" scenarios="1"/>
  <sortState ref="A33:Y42">
    <sortCondition ref="A33:A42"/>
  </sortState>
  <conditionalFormatting sqref="B33:Y34 B19:Z20 B22:Z25 B36:Y39 B27:Z28 B41:Y42">
    <cfRule type="cellIs" dxfId="9" priority="19" operator="equal">
      <formula>""</formula>
    </cfRule>
  </conditionalFormatting>
  <conditionalFormatting sqref="B33:X33">
    <cfRule type="cellIs" dxfId="8" priority="14" operator="equal">
      <formula>""</formula>
    </cfRule>
  </conditionalFormatting>
  <conditionalFormatting sqref="Y33">
    <cfRule type="cellIs" dxfId="7" priority="13" operator="equal">
      <formula>""</formula>
    </cfRule>
  </conditionalFormatting>
  <conditionalFormatting sqref="B34:X34">
    <cfRule type="cellIs" dxfId="6" priority="12" operator="equal">
      <formula>""</formula>
    </cfRule>
  </conditionalFormatting>
  <conditionalFormatting sqref="Y34">
    <cfRule type="cellIs" dxfId="5" priority="11" operator="equal">
      <formula>""</formula>
    </cfRule>
  </conditionalFormatting>
  <conditionalFormatting sqref="B21:Z21">
    <cfRule type="cellIs" dxfId="4" priority="6" operator="equal">
      <formula>""</formula>
    </cfRule>
  </conditionalFormatting>
  <conditionalFormatting sqref="B35:Y35">
    <cfRule type="cellIs" dxfId="3" priority="5" operator="equal">
      <formula>""</formula>
    </cfRule>
  </conditionalFormatting>
  <conditionalFormatting sqref="Y35">
    <cfRule type="cellIs" dxfId="2" priority="3" operator="equal">
      <formula>""</formula>
    </cfRule>
  </conditionalFormatting>
  <conditionalFormatting sqref="B26:Z26">
    <cfRule type="cellIs" dxfId="1" priority="2" operator="equal">
      <formula>""</formula>
    </cfRule>
  </conditionalFormatting>
  <conditionalFormatting sqref="B40:Y40">
    <cfRule type="cellIs" dxfId="0" priority="1" operator="equal">
      <formula>""</formula>
    </cfRule>
  </conditionalFormatting>
  <printOptions horizontalCentered="1"/>
  <pageMargins left="0.3" right="0.3"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10" width="20.7109375" style="22" customWidth="1"/>
    <col min="11" max="11" width="8.85546875" style="22" bestFit="1" customWidth="1"/>
    <col min="12" max="16384" width="9.140625" style="22"/>
  </cols>
  <sheetData>
    <row r="1" spans="1:22" ht="15" customHeight="1">
      <c r="A1" s="36" t="s">
        <v>28</v>
      </c>
    </row>
    <row r="2" spans="1:22" ht="15" customHeight="1">
      <c r="A2" s="36" t="s">
        <v>198</v>
      </c>
    </row>
    <row r="3" spans="1:22" ht="15" customHeight="1">
      <c r="A3" s="30" t="s">
        <v>196</v>
      </c>
      <c r="C3" s="147">
        <f>IF('Set-Up Worksheet'!F3="","Data Not Entered On Set-Up Worksheet",'Set-Up Worksheet'!F3)</f>
        <v>2017</v>
      </c>
    </row>
    <row r="4" spans="1:22" ht="15" customHeight="1">
      <c r="A4" s="30" t="s">
        <v>197</v>
      </c>
      <c r="C4" s="147" t="str">
        <f>IF('Set-Up Worksheet'!F4="","Data Not Entered On Set-Up Worksheet",'Set-Up Worksheet'!F4)</f>
        <v>1st Quarter</v>
      </c>
    </row>
    <row r="5" spans="1:22" ht="15" customHeight="1">
      <c r="A5" s="30"/>
      <c r="E5" s="32"/>
      <c r="F5" s="32"/>
    </row>
    <row r="6" spans="1:22" ht="15" customHeight="1">
      <c r="A6" s="30" t="s">
        <v>193</v>
      </c>
      <c r="E6" s="32"/>
      <c r="F6" s="32"/>
    </row>
    <row r="7" spans="1:22" ht="15" customHeight="1">
      <c r="A7" s="30" t="s">
        <v>243</v>
      </c>
      <c r="E7" s="32"/>
      <c r="F7" s="32"/>
    </row>
    <row r="8" spans="1:22" ht="15" customHeight="1">
      <c r="A8" s="30"/>
      <c r="E8" s="32"/>
      <c r="F8" s="32"/>
      <c r="N8" s="54"/>
      <c r="O8" s="54"/>
      <c r="P8" s="55"/>
      <c r="Q8" s="54"/>
      <c r="R8" s="54"/>
      <c r="S8" s="54"/>
      <c r="T8" s="54"/>
      <c r="U8" s="30"/>
      <c r="V8" s="35"/>
    </row>
    <row r="9" spans="1:22" ht="15" customHeight="1">
      <c r="A9" s="30" t="s">
        <v>29</v>
      </c>
      <c r="C9" s="39" t="str">
        <f>IF('Set-Up Worksheet'!E7="","Data Not Entered On Set-Up Worksheet",'Set-Up Worksheet'!E7)</f>
        <v>Data Not Entered On Set-Up Worksheet</v>
      </c>
    </row>
    <row r="10" spans="1:22" ht="15" customHeight="1">
      <c r="A10" s="30" t="s">
        <v>9</v>
      </c>
      <c r="C10" s="32" t="s">
        <v>10</v>
      </c>
      <c r="E10" s="79" t="s">
        <v>40</v>
      </c>
    </row>
    <row r="11" spans="1:22" ht="15" customHeight="1">
      <c r="A11" s="30" t="s">
        <v>199</v>
      </c>
      <c r="C11" s="40" t="str">
        <f>IF(C4="Data Not Entered On Set-Up Worksheet","Data Not Entered On Set-Up Worksheet",IF(C4="1st Quarter",'Report Schedule'!D16,IF(C4="2nd Quarter",'Report Schedule'!E16,IF(C4="3rd Quarter",'Report Schedule'!F16,IF(C4="4th Quarter",'Report Schedule'!G16,"")))))</f>
        <v>Apr - Jun 2016</v>
      </c>
      <c r="E11" s="359" t="s">
        <v>421</v>
      </c>
      <c r="I11" s="79"/>
    </row>
    <row r="12" spans="1:22" ht="15" customHeight="1">
      <c r="A12" s="30"/>
    </row>
    <row r="13" spans="1:22" ht="13.5" thickBot="1"/>
    <row r="14" spans="1:22" s="35" customFormat="1" ht="26.1" customHeight="1" thickBot="1">
      <c r="A14" s="226" t="s">
        <v>245</v>
      </c>
      <c r="B14" s="384" t="s">
        <v>39</v>
      </c>
      <c r="C14" s="315"/>
      <c r="D14" s="329"/>
      <c r="E14" s="386" t="s">
        <v>244</v>
      </c>
      <c r="F14" s="85"/>
      <c r="G14" s="65"/>
      <c r="H14" s="387" t="s">
        <v>246</v>
      </c>
      <c r="I14" s="331"/>
      <c r="J14" s="332"/>
    </row>
    <row r="15" spans="1:22" ht="13.5" thickBot="1">
      <c r="B15" s="225" t="s">
        <v>3</v>
      </c>
      <c r="C15" s="225" t="s">
        <v>4</v>
      </c>
      <c r="D15" s="225" t="s">
        <v>8</v>
      </c>
      <c r="E15" s="225" t="s">
        <v>3</v>
      </c>
      <c r="F15" s="225" t="s">
        <v>4</v>
      </c>
      <c r="G15" s="225" t="s">
        <v>8</v>
      </c>
      <c r="H15" s="225" t="s">
        <v>3</v>
      </c>
      <c r="I15" s="225" t="s">
        <v>4</v>
      </c>
      <c r="J15" s="225" t="s">
        <v>8</v>
      </c>
    </row>
    <row r="16" spans="1:22" ht="63.95" customHeight="1">
      <c r="A16" s="75" t="s">
        <v>43</v>
      </c>
      <c r="B16" s="239" t="s">
        <v>530</v>
      </c>
      <c r="C16" s="240" t="s">
        <v>531</v>
      </c>
      <c r="D16" s="330" t="s">
        <v>532</v>
      </c>
      <c r="E16" s="66" t="s">
        <v>530</v>
      </c>
      <c r="F16" s="67" t="s">
        <v>531</v>
      </c>
      <c r="G16" s="84" t="s">
        <v>532</v>
      </c>
      <c r="H16" s="239" t="s">
        <v>530</v>
      </c>
      <c r="I16" s="240" t="s">
        <v>531</v>
      </c>
      <c r="J16" s="330" t="s">
        <v>532</v>
      </c>
    </row>
    <row r="17" spans="1:10" ht="18" customHeight="1">
      <c r="A17" s="76" t="str">
        <f>IF($C$9="Data Not Entered On Set-Up Worksheet","",IF(OR(VLOOKUP($C$9,County_Lookup,2,FALSE)="",VLOOKUP($C$9,County_Lookup,2,FALSE)=0),"",VLOOKUP($C$9,County_Lookup,2,FALSE)))</f>
        <v/>
      </c>
      <c r="B17" s="86"/>
      <c r="C17" s="224"/>
      <c r="D17" s="150" t="str">
        <f>IF($A17="","",IF(C17=0,0,B17/C17))</f>
        <v/>
      </c>
      <c r="E17" s="86"/>
      <c r="F17" s="224"/>
      <c r="G17" s="150" t="str">
        <f>IF($A17="","",IF(F17=0,0,E17/F17))</f>
        <v/>
      </c>
      <c r="H17" s="86"/>
      <c r="I17" s="224"/>
      <c r="J17" s="150" t="str">
        <f>IF($A17="","",IF(I17=0,0,H17/I17))</f>
        <v/>
      </c>
    </row>
    <row r="18" spans="1:10" ht="18" customHeight="1">
      <c r="A18" s="77" t="str">
        <f>IF($C$9="Data Not Entered On Set-Up Worksheet","",IF(OR(VLOOKUP($C$9,County_Lookup,3,FALSE)="",VLOOKUP($C$9,County_Lookup,3,FALSE)=0),"",VLOOKUP($C$9,County_Lookup,3,FALSE)))</f>
        <v/>
      </c>
      <c r="B18" s="86"/>
      <c r="C18" s="224"/>
      <c r="D18" s="150" t="str">
        <f t="shared" ref="D18:D41" si="0">IF($A18="","",IF(C18=0,0,B18/C18))</f>
        <v/>
      </c>
      <c r="E18" s="86"/>
      <c r="F18" s="224"/>
      <c r="G18" s="150" t="str">
        <f t="shared" ref="G18:G41" si="1">IF($A18="","",IF(F18=0,0,E18/F18))</f>
        <v/>
      </c>
      <c r="H18" s="86"/>
      <c r="I18" s="224"/>
      <c r="J18" s="150" t="str">
        <f t="shared" ref="J18:J41" si="2">IF($A18="","",IF(I18=0,0,H18/I18))</f>
        <v/>
      </c>
    </row>
    <row r="19" spans="1:10" ht="18" customHeight="1">
      <c r="A19" s="77" t="str">
        <f>IF($C$9="Data Not Entered On Set-Up Worksheet","",IF(OR(VLOOKUP($C$9,County_Lookup,4,FALSE)="",VLOOKUP($C$9,County_Lookup,4,FALSE)=0),"",VLOOKUP($C$9,County_Lookup,4,FALSE)))</f>
        <v/>
      </c>
      <c r="B19" s="86"/>
      <c r="C19" s="224"/>
      <c r="D19" s="150" t="str">
        <f t="shared" si="0"/>
        <v/>
      </c>
      <c r="E19" s="86"/>
      <c r="F19" s="224"/>
      <c r="G19" s="150" t="str">
        <f t="shared" si="1"/>
        <v/>
      </c>
      <c r="H19" s="86"/>
      <c r="I19" s="224"/>
      <c r="J19" s="150" t="str">
        <f t="shared" si="2"/>
        <v/>
      </c>
    </row>
    <row r="20" spans="1:10" ht="18" customHeight="1">
      <c r="A20" s="77" t="str">
        <f>IF($C$9="Data Not Entered On Set-Up Worksheet","",IF(OR(VLOOKUP($C$9,County_Lookup,5,FALSE)="",VLOOKUP($C$9,County_Lookup,5,FALSE)=0),"",VLOOKUP($C$9,County_Lookup,5,FALSE)))</f>
        <v/>
      </c>
      <c r="B20" s="86"/>
      <c r="C20" s="224"/>
      <c r="D20" s="150" t="str">
        <f t="shared" si="0"/>
        <v/>
      </c>
      <c r="E20" s="86"/>
      <c r="F20" s="224"/>
      <c r="G20" s="150" t="str">
        <f t="shared" si="1"/>
        <v/>
      </c>
      <c r="H20" s="86"/>
      <c r="I20" s="224"/>
      <c r="J20" s="150" t="str">
        <f t="shared" si="2"/>
        <v/>
      </c>
    </row>
    <row r="21" spans="1:10" ht="18" customHeight="1">
      <c r="A21" s="77" t="str">
        <f>IF($C$9="Data Not Entered On Set-Up Worksheet","",IF(OR(VLOOKUP($C$9,County_Lookup,6,FALSE)="",VLOOKUP($C$9,County_Lookup,6,FALSE)=0),"",VLOOKUP($C$9,County_Lookup,6,FALSE)))</f>
        <v/>
      </c>
      <c r="B21" s="86"/>
      <c r="C21" s="224"/>
      <c r="D21" s="150" t="str">
        <f t="shared" si="0"/>
        <v/>
      </c>
      <c r="E21" s="86"/>
      <c r="F21" s="224"/>
      <c r="G21" s="150" t="str">
        <f t="shared" si="1"/>
        <v/>
      </c>
      <c r="H21" s="86"/>
      <c r="I21" s="224"/>
      <c r="J21" s="150" t="str">
        <f t="shared" si="2"/>
        <v/>
      </c>
    </row>
    <row r="22" spans="1:10" ht="18" customHeight="1">
      <c r="A22" s="77" t="str">
        <f>IF($C$9="Data Not Entered On Set-Up Worksheet","",IF(OR(VLOOKUP($C$9,County_Lookup,7,FALSE)="",VLOOKUP($C$9,County_Lookup,7,FALSE)=0),"",VLOOKUP($C$9,County_Lookup,7,FALSE)))</f>
        <v/>
      </c>
      <c r="B22" s="86"/>
      <c r="C22" s="224"/>
      <c r="D22" s="150" t="str">
        <f t="shared" si="0"/>
        <v/>
      </c>
      <c r="E22" s="86"/>
      <c r="F22" s="224"/>
      <c r="G22" s="150" t="str">
        <f t="shared" si="1"/>
        <v/>
      </c>
      <c r="H22" s="86"/>
      <c r="I22" s="224"/>
      <c r="J22" s="150" t="str">
        <f t="shared" si="2"/>
        <v/>
      </c>
    </row>
    <row r="23" spans="1:10" ht="18" customHeight="1">
      <c r="A23" s="76" t="str">
        <f>IF($C$9="Data Not Entered On Set-Up Worksheet","",IF(OR(VLOOKUP($C$9,County_Lookup,8,FALSE)="",VLOOKUP($C$9,County_Lookup,8,FALSE)=0),"",VLOOKUP($C$9,County_Lookup,8,FALSE)))</f>
        <v/>
      </c>
      <c r="B23" s="86"/>
      <c r="C23" s="224"/>
      <c r="D23" s="150" t="str">
        <f t="shared" si="0"/>
        <v/>
      </c>
      <c r="E23" s="86"/>
      <c r="F23" s="224"/>
      <c r="G23" s="150" t="str">
        <f t="shared" si="1"/>
        <v/>
      </c>
      <c r="H23" s="86"/>
      <c r="I23" s="224"/>
      <c r="J23" s="150" t="str">
        <f t="shared" si="2"/>
        <v/>
      </c>
    </row>
    <row r="24" spans="1:10" ht="18" customHeight="1">
      <c r="A24" s="77" t="str">
        <f>IF($C$9="Data Not Entered On Set-Up Worksheet","",IF(OR(VLOOKUP($C$9,County_Lookup,9,FALSE)="",VLOOKUP($C$9,County_Lookup,9,FALSE)=0),"",VLOOKUP($C$9,County_Lookup,9,FALSE)))</f>
        <v/>
      </c>
      <c r="B24" s="86"/>
      <c r="C24" s="224"/>
      <c r="D24" s="150" t="str">
        <f t="shared" si="0"/>
        <v/>
      </c>
      <c r="E24" s="86"/>
      <c r="F24" s="224"/>
      <c r="G24" s="150" t="str">
        <f t="shared" si="1"/>
        <v/>
      </c>
      <c r="H24" s="86"/>
      <c r="I24" s="224"/>
      <c r="J24" s="150" t="str">
        <f t="shared" si="2"/>
        <v/>
      </c>
    </row>
    <row r="25" spans="1:10" ht="18" customHeight="1">
      <c r="A25" s="77" t="str">
        <f>IF($C$9="Data Not Entered On Set-Up Worksheet","",IF(OR(VLOOKUP($C$9,County_Lookup,10,FALSE)="",VLOOKUP($C$9,County_Lookup,10,FALSE)=0),"",VLOOKUP($C$9,County_Lookup,10,FALSE)))</f>
        <v/>
      </c>
      <c r="B25" s="86"/>
      <c r="C25" s="224"/>
      <c r="D25" s="150" t="str">
        <f t="shared" si="0"/>
        <v/>
      </c>
      <c r="E25" s="86"/>
      <c r="F25" s="224"/>
      <c r="G25" s="150" t="str">
        <f t="shared" si="1"/>
        <v/>
      </c>
      <c r="H25" s="86"/>
      <c r="I25" s="224"/>
      <c r="J25" s="150" t="str">
        <f t="shared" si="2"/>
        <v/>
      </c>
    </row>
    <row r="26" spans="1:10" ht="18" customHeight="1">
      <c r="A26" s="77" t="str">
        <f>IF($C$9="Data Not Entered On Set-Up Worksheet","",IF(OR(VLOOKUP($C$9,County_Lookup,11,FALSE)="",VLOOKUP($C$9,County_Lookup,11,FALSE)=0),"",VLOOKUP($C$9,County_Lookup,11,FALSE)))</f>
        <v/>
      </c>
      <c r="B26" s="86"/>
      <c r="C26" s="224"/>
      <c r="D26" s="150" t="str">
        <f t="shared" si="0"/>
        <v/>
      </c>
      <c r="E26" s="86"/>
      <c r="F26" s="224"/>
      <c r="G26" s="150" t="str">
        <f t="shared" si="1"/>
        <v/>
      </c>
      <c r="H26" s="86"/>
      <c r="I26" s="224"/>
      <c r="J26" s="150" t="str">
        <f t="shared" si="2"/>
        <v/>
      </c>
    </row>
    <row r="27" spans="1:10" ht="18" customHeight="1">
      <c r="A27" s="77" t="str">
        <f>IF($C$9="Data Not Entered On Set-Up Worksheet","",IF(OR(VLOOKUP($C$9,County_Lookup,12,FALSE)="",VLOOKUP($C$9,County_Lookup,12,FALSE)=0),"",VLOOKUP($C$9,County_Lookup,12,FALSE)))</f>
        <v/>
      </c>
      <c r="B27" s="86"/>
      <c r="C27" s="224"/>
      <c r="D27" s="150" t="str">
        <f t="shared" si="0"/>
        <v/>
      </c>
      <c r="E27" s="86"/>
      <c r="F27" s="224"/>
      <c r="G27" s="150" t="str">
        <f t="shared" si="1"/>
        <v/>
      </c>
      <c r="H27" s="86"/>
      <c r="I27" s="224"/>
      <c r="J27" s="150" t="str">
        <f t="shared" si="2"/>
        <v/>
      </c>
    </row>
    <row r="28" spans="1:10" ht="18" customHeight="1">
      <c r="A28" s="77" t="str">
        <f>IF($C$9="Data Not Entered On Set-Up Worksheet","",IF(OR(VLOOKUP($C$9,County_Lookup,13,FALSE)="",VLOOKUP($C$9,County_Lookup,13,FALSE)=0),"",VLOOKUP($C$9,County_Lookup,13,FALSE)))</f>
        <v/>
      </c>
      <c r="B28" s="86"/>
      <c r="C28" s="224"/>
      <c r="D28" s="150" t="str">
        <f t="shared" si="0"/>
        <v/>
      </c>
      <c r="E28" s="86"/>
      <c r="F28" s="224"/>
      <c r="G28" s="150" t="str">
        <f t="shared" si="1"/>
        <v/>
      </c>
      <c r="H28" s="86"/>
      <c r="I28" s="224"/>
      <c r="J28" s="150" t="str">
        <f t="shared" si="2"/>
        <v/>
      </c>
    </row>
    <row r="29" spans="1:10" ht="18" customHeight="1">
      <c r="A29" s="77" t="str">
        <f>IF($C$9="Data Not Entered On Set-Up Worksheet","",IF(OR(VLOOKUP($C$9,County_Lookup,14,FALSE)="",VLOOKUP($C$9,County_Lookup,14,FALSE)=0),"",VLOOKUP($C$9,County_Lookup,14,FALSE)))</f>
        <v/>
      </c>
      <c r="B29" s="86"/>
      <c r="C29" s="224"/>
      <c r="D29" s="150" t="str">
        <f t="shared" si="0"/>
        <v/>
      </c>
      <c r="E29" s="86"/>
      <c r="F29" s="224"/>
      <c r="G29" s="150" t="str">
        <f t="shared" si="1"/>
        <v/>
      </c>
      <c r="H29" s="86"/>
      <c r="I29" s="224"/>
      <c r="J29" s="150" t="str">
        <f t="shared" si="2"/>
        <v/>
      </c>
    </row>
    <row r="30" spans="1:10" ht="18" customHeight="1">
      <c r="A30" s="76" t="str">
        <f>IF($C$9="Data Not Entered On Set-Up Worksheet","",IF(OR(VLOOKUP($C$9,County_Lookup,15,FALSE)="",VLOOKUP($C$9,County_Lookup,15,FALSE)=0),"",VLOOKUP($C$9,County_Lookup,15,FALSE)))</f>
        <v/>
      </c>
      <c r="B30" s="86"/>
      <c r="C30" s="224"/>
      <c r="D30" s="150" t="str">
        <f t="shared" si="0"/>
        <v/>
      </c>
      <c r="E30" s="86"/>
      <c r="F30" s="224"/>
      <c r="G30" s="150" t="str">
        <f t="shared" si="1"/>
        <v/>
      </c>
      <c r="H30" s="86"/>
      <c r="I30" s="224"/>
      <c r="J30" s="150" t="str">
        <f t="shared" si="2"/>
        <v/>
      </c>
    </row>
    <row r="31" spans="1:10" ht="18" customHeight="1">
      <c r="A31" s="77" t="str">
        <f>IF($C$9="Data Not Entered On Set-Up Worksheet","",IF(OR(VLOOKUP($C$9,County_Lookup,16,FALSE)="",VLOOKUP($C$9,County_Lookup,16,FALSE)=0),"",VLOOKUP($C$9,County_Lookup,16,FALSE)))</f>
        <v/>
      </c>
      <c r="B31" s="86"/>
      <c r="C31" s="224"/>
      <c r="D31" s="150" t="str">
        <f t="shared" si="0"/>
        <v/>
      </c>
      <c r="E31" s="86"/>
      <c r="F31" s="224"/>
      <c r="G31" s="150" t="str">
        <f t="shared" si="1"/>
        <v/>
      </c>
      <c r="H31" s="86"/>
      <c r="I31" s="224"/>
      <c r="J31" s="150" t="str">
        <f t="shared" si="2"/>
        <v/>
      </c>
    </row>
    <row r="32" spans="1:10" ht="18" customHeight="1">
      <c r="A32" s="77" t="str">
        <f>IF($C$9="Data Not Entered On Set-Up Worksheet","",IF(OR(VLOOKUP($C$9,County_Lookup,17,FALSE)="",VLOOKUP($C$9,County_Lookup,17,FALSE)=0),"",VLOOKUP($C$9,County_Lookup,17,FALSE)))</f>
        <v/>
      </c>
      <c r="B32" s="86"/>
      <c r="C32" s="224"/>
      <c r="D32" s="150" t="str">
        <f t="shared" si="0"/>
        <v/>
      </c>
      <c r="E32" s="86"/>
      <c r="F32" s="224"/>
      <c r="G32" s="150" t="str">
        <f t="shared" si="1"/>
        <v/>
      </c>
      <c r="H32" s="86"/>
      <c r="I32" s="224"/>
      <c r="J32" s="150" t="str">
        <f t="shared" si="2"/>
        <v/>
      </c>
    </row>
    <row r="33" spans="1:10" ht="18" customHeight="1">
      <c r="A33" s="77" t="str">
        <f>IF($C$9="Data Not Entered On Set-Up Worksheet","",IF(OR(VLOOKUP($C$9,County_Lookup,18,FALSE)="",VLOOKUP($C$9,County_Lookup,18,FALSE)=0),"",VLOOKUP($C$9,County_Lookup,18,FALSE)))</f>
        <v/>
      </c>
      <c r="B33" s="86"/>
      <c r="C33" s="224"/>
      <c r="D33" s="150" t="str">
        <f t="shared" si="0"/>
        <v/>
      </c>
      <c r="E33" s="86"/>
      <c r="F33" s="224"/>
      <c r="G33" s="150" t="str">
        <f t="shared" si="1"/>
        <v/>
      </c>
      <c r="H33" s="86"/>
      <c r="I33" s="224"/>
      <c r="J33" s="150" t="str">
        <f t="shared" si="2"/>
        <v/>
      </c>
    </row>
    <row r="34" spans="1:10" ht="18" customHeight="1">
      <c r="A34" s="77" t="str">
        <f>IF($C$9="Data Not Entered On Set-Up Worksheet","",IF(OR(VLOOKUP($C$9,County_Lookup,19,FALSE)="",VLOOKUP($C$9,County_Lookup,19,FALSE)=0),"",VLOOKUP($C$9,County_Lookup,19,FALSE)))</f>
        <v/>
      </c>
      <c r="B34" s="86"/>
      <c r="C34" s="224"/>
      <c r="D34" s="150" t="str">
        <f t="shared" si="0"/>
        <v/>
      </c>
      <c r="E34" s="86"/>
      <c r="F34" s="224"/>
      <c r="G34" s="150" t="str">
        <f t="shared" si="1"/>
        <v/>
      </c>
      <c r="H34" s="86"/>
      <c r="I34" s="224"/>
      <c r="J34" s="150" t="str">
        <f t="shared" si="2"/>
        <v/>
      </c>
    </row>
    <row r="35" spans="1:10" ht="18" customHeight="1">
      <c r="A35" s="77" t="str">
        <f>IF($C$9="Data Not Entered On Set-Up Worksheet","",IF(OR(VLOOKUP($C$9,County_Lookup,20,FALSE)="",VLOOKUP($C$9,County_Lookup,20,FALSE)=0),"",VLOOKUP($C$9,County_Lookup,20,FALSE)))</f>
        <v/>
      </c>
      <c r="B35" s="86"/>
      <c r="C35" s="224"/>
      <c r="D35" s="150" t="str">
        <f t="shared" si="0"/>
        <v/>
      </c>
      <c r="E35" s="86"/>
      <c r="F35" s="224"/>
      <c r="G35" s="150" t="str">
        <f t="shared" si="1"/>
        <v/>
      </c>
      <c r="H35" s="86"/>
      <c r="I35" s="224"/>
      <c r="J35" s="150" t="str">
        <f t="shared" si="2"/>
        <v/>
      </c>
    </row>
    <row r="36" spans="1:10" ht="18" customHeight="1">
      <c r="A36" s="77" t="str">
        <f>IF($C$9="Data Not Entered On Set-Up Worksheet","",IF(OR(VLOOKUP($C$9,County_Lookup,21,FALSE)="",VLOOKUP($C$9,County_Lookup,21,FALSE)=0),"",VLOOKUP($C$9,County_Lookup,21,FALSE)))</f>
        <v/>
      </c>
      <c r="B36" s="86"/>
      <c r="C36" s="224"/>
      <c r="D36" s="150" t="str">
        <f t="shared" si="0"/>
        <v/>
      </c>
      <c r="E36" s="86"/>
      <c r="F36" s="224"/>
      <c r="G36" s="150" t="str">
        <f t="shared" si="1"/>
        <v/>
      </c>
      <c r="H36" s="86"/>
      <c r="I36" s="224"/>
      <c r="J36" s="150" t="str">
        <f t="shared" si="2"/>
        <v/>
      </c>
    </row>
    <row r="37" spans="1:10" ht="18" customHeight="1">
      <c r="A37" s="76" t="str">
        <f>IF($C$9="Data Not Entered On Set-Up Worksheet","",IF(OR(VLOOKUP($C$9,County_Lookup,22,FALSE)="",VLOOKUP($C$9,County_Lookup,22,FALSE)=0),"",VLOOKUP($C$9,County_Lookup,22,FALSE)))</f>
        <v/>
      </c>
      <c r="B37" s="86"/>
      <c r="C37" s="224"/>
      <c r="D37" s="150" t="str">
        <f t="shared" si="0"/>
        <v/>
      </c>
      <c r="E37" s="86"/>
      <c r="F37" s="224"/>
      <c r="G37" s="150" t="str">
        <f t="shared" si="1"/>
        <v/>
      </c>
      <c r="H37" s="86"/>
      <c r="I37" s="224"/>
      <c r="J37" s="150" t="str">
        <f t="shared" si="2"/>
        <v/>
      </c>
    </row>
    <row r="38" spans="1:10" ht="18" customHeight="1">
      <c r="A38" s="77" t="str">
        <f>IF($C$9="Data Not Entered On Set-Up Worksheet","",IF(OR(VLOOKUP($C$9,County_Lookup,23,FALSE)="",VLOOKUP($C$9,County_Lookup,23,FALSE)=0),"",VLOOKUP($C$9,County_Lookup,23,FALSE)))</f>
        <v/>
      </c>
      <c r="B38" s="86"/>
      <c r="C38" s="224"/>
      <c r="D38" s="150" t="str">
        <f t="shared" si="0"/>
        <v/>
      </c>
      <c r="E38" s="86"/>
      <c r="F38" s="224"/>
      <c r="G38" s="150" t="str">
        <f t="shared" si="1"/>
        <v/>
      </c>
      <c r="H38" s="86"/>
      <c r="I38" s="224"/>
      <c r="J38" s="150" t="str">
        <f t="shared" si="2"/>
        <v/>
      </c>
    </row>
    <row r="39" spans="1:10" ht="18" customHeight="1">
      <c r="A39" s="77" t="str">
        <f>IF($C$9="Data Not Entered On Set-Up Worksheet","",IF(OR(VLOOKUP($C$9,County_Lookup,24,FALSE)="",VLOOKUP($C$9,County_Lookup,24,FALSE)=0),"",VLOOKUP($C$9,County_Lookup,24,FALSE)))</f>
        <v/>
      </c>
      <c r="B39" s="86"/>
      <c r="C39" s="224"/>
      <c r="D39" s="150" t="str">
        <f t="shared" ref="D39" si="3">IF($A39="","",IF(C39=0,0,B39/C39))</f>
        <v/>
      </c>
      <c r="E39" s="86"/>
      <c r="F39" s="224"/>
      <c r="G39" s="150" t="str">
        <f t="shared" ref="G39" si="4">IF($A39="","",IF(F39=0,0,E39/F39))</f>
        <v/>
      </c>
      <c r="H39" s="86"/>
      <c r="I39" s="224"/>
      <c r="J39" s="150" t="str">
        <f t="shared" ref="J39" si="5">IF($A39="","",IF(I39=0,0,H39/I39))</f>
        <v/>
      </c>
    </row>
    <row r="40" spans="1:10" ht="18" customHeight="1">
      <c r="A40" s="77" t="str">
        <f>IF($C$9="Data Not Entered On Set-Up Worksheet","",IF(OR(VLOOKUP($C$9,County_Lookup,25,FALSE)="",VLOOKUP($C$9,County_Lookup,25,FALSE)=0),"",VLOOKUP($C$9,County_Lookup,25,FALSE)))</f>
        <v/>
      </c>
      <c r="B40" s="86"/>
      <c r="C40" s="224"/>
      <c r="D40" s="150" t="str">
        <f t="shared" si="0"/>
        <v/>
      </c>
      <c r="E40" s="86"/>
      <c r="F40" s="224"/>
      <c r="G40" s="150" t="str">
        <f t="shared" si="1"/>
        <v/>
      </c>
      <c r="H40" s="86"/>
      <c r="I40" s="224"/>
      <c r="J40" s="150" t="str">
        <f t="shared" si="2"/>
        <v/>
      </c>
    </row>
    <row r="41" spans="1:10" ht="18" customHeight="1" thickBot="1">
      <c r="A41" s="78" t="s">
        <v>0</v>
      </c>
      <c r="B41" s="71">
        <f>SUM(B17:B40)</f>
        <v>0</v>
      </c>
      <c r="C41" s="72">
        <f>SUM(C17:C40)</f>
        <v>0</v>
      </c>
      <c r="D41" s="151">
        <f t="shared" si="0"/>
        <v>0</v>
      </c>
      <c r="E41" s="71">
        <f>SUM(E17:E40)</f>
        <v>0</v>
      </c>
      <c r="F41" s="72">
        <f>SUM(F17:F40)</f>
        <v>0</v>
      </c>
      <c r="G41" s="151">
        <f t="shared" si="1"/>
        <v>0</v>
      </c>
      <c r="H41" s="71">
        <f>SUM(H17:H40)</f>
        <v>0</v>
      </c>
      <c r="I41" s="72">
        <f>SUM(I17:I40)</f>
        <v>0</v>
      </c>
      <c r="J41" s="151">
        <f t="shared" si="2"/>
        <v>0</v>
      </c>
    </row>
  </sheetData>
  <sheetProtection sheet="1" objects="1" scenarios="1"/>
  <conditionalFormatting sqref="C3:C4 I11 E10">
    <cfRule type="expression" dxfId="539" priority="37">
      <formula>C3="Data Not Entered On Set-Up Worksheet"</formula>
    </cfRule>
  </conditionalFormatting>
  <conditionalFormatting sqref="C9">
    <cfRule type="expression" dxfId="538" priority="36">
      <formula>C9="Data Not Entered On Set-Up Worksheet"</formula>
    </cfRule>
  </conditionalFormatting>
  <conditionalFormatting sqref="E11">
    <cfRule type="expression" dxfId="537" priority="35">
      <formula>E11="Data Not Entered On Set-Up Worksheet"</formula>
    </cfRule>
  </conditionalFormatting>
  <conditionalFormatting sqref="B17:C38 B40:C40">
    <cfRule type="expression" dxfId="536" priority="34">
      <formula>AND($A17&lt;&gt;"",B17="")</formula>
    </cfRule>
  </conditionalFormatting>
  <conditionalFormatting sqref="E17:F38 E40:F40">
    <cfRule type="expression" dxfId="535" priority="22">
      <formula>AND($A17&lt;&gt;"",E17="")</formula>
    </cfRule>
  </conditionalFormatting>
  <conditionalFormatting sqref="H17:I38 H40:I40">
    <cfRule type="expression" dxfId="534" priority="21">
      <formula>AND($A17&lt;&gt;"",H17="")</formula>
    </cfRule>
  </conditionalFormatting>
  <conditionalFormatting sqref="C11">
    <cfRule type="expression" dxfId="533" priority="4">
      <formula>C11="Data Not Entered On Set-Up Worksheet"</formula>
    </cfRule>
  </conditionalFormatting>
  <conditionalFormatting sqref="B39:C39">
    <cfRule type="expression" dxfId="532" priority="3">
      <formula>AND($A39&lt;&gt;"",B39="")</formula>
    </cfRule>
  </conditionalFormatting>
  <conditionalFormatting sqref="E39:F39">
    <cfRule type="expression" dxfId="531" priority="2">
      <formula>AND($A39&lt;&gt;"",E39="")</formula>
    </cfRule>
  </conditionalFormatting>
  <conditionalFormatting sqref="H39:I39">
    <cfRule type="expression" dxfId="530" priority="1">
      <formula>AND($A39&lt;&gt;"",H39="")</formula>
    </cfRule>
  </conditionalFormatting>
  <pageMargins left="0.5" right="0.5" top="0.5" bottom="0.5" header="0.3" footer="0.3"/>
  <pageSetup scale="61" orientation="landscape" r:id="rId1"/>
  <headerFooter>
    <oddFooter>&amp;LNC DHHS LME-MCO Performance Measures Report Part II DMH/DD/SAS Measures&amp;C&amp;P&amp;R&amp;F</oddFooter>
  </headerFooter>
  <rowBreaks count="1" manualBreakCount="1">
    <brk id="41"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Z75"/>
  <sheetViews>
    <sheetView showGridLines="0" workbookViewId="0">
      <pane xSplit="1" ySplit="18" topLeftCell="B19" activePane="bottomRight" state="frozen"/>
      <selection activeCell="E7" sqref="E7:I7"/>
      <selection pane="topRight" activeCell="E7" sqref="E7:I7"/>
      <selection pane="bottomLeft" activeCell="E7" sqref="E7:I7"/>
      <selection pane="bottomRight" activeCell="D19" sqref="D19"/>
    </sheetView>
  </sheetViews>
  <sheetFormatPr defaultRowHeight="12.75"/>
  <cols>
    <col min="1" max="1" width="22.42578125" style="22" customWidth="1"/>
    <col min="2" max="37" width="17.7109375" style="22" customWidth="1"/>
    <col min="38" max="38" width="21.7109375" style="22" customWidth="1"/>
    <col min="39" max="39" width="17.7109375" style="22" customWidth="1"/>
    <col min="40" max="40" width="21.7109375" style="22" customWidth="1"/>
    <col min="41" max="41" width="8.85546875" style="22" bestFit="1" customWidth="1"/>
    <col min="42" max="16384" width="9.140625" style="22"/>
  </cols>
  <sheetData>
    <row r="1" spans="1:52" ht="15" customHeight="1">
      <c r="A1" s="36" t="s">
        <v>28</v>
      </c>
      <c r="N1" s="30" t="s">
        <v>332</v>
      </c>
      <c r="Z1" s="30" t="s">
        <v>332</v>
      </c>
      <c r="AL1" s="30" t="s">
        <v>332</v>
      </c>
    </row>
    <row r="2" spans="1:52" ht="15" customHeight="1">
      <c r="A2" s="36" t="s">
        <v>198</v>
      </c>
      <c r="N2" s="321" t="s">
        <v>333</v>
      </c>
      <c r="Z2" s="321" t="s">
        <v>333</v>
      </c>
      <c r="AL2" s="321" t="s">
        <v>333</v>
      </c>
    </row>
    <row r="3" spans="1:52" ht="15" customHeight="1">
      <c r="A3" s="30" t="s">
        <v>196</v>
      </c>
      <c r="C3" s="147">
        <f>IF('Set-Up Worksheet'!F3="","Data Not Entered On Set-Up Worksheet",'Set-Up Worksheet'!F3)</f>
        <v>2017</v>
      </c>
      <c r="F3" s="38"/>
      <c r="I3" s="38"/>
      <c r="L3" s="38"/>
      <c r="O3" s="147">
        <f t="shared" ref="O3:O11" si="0">C3</f>
        <v>2017</v>
      </c>
      <c r="R3" s="38"/>
      <c r="U3" s="38"/>
      <c r="X3" s="38"/>
      <c r="AA3" s="147">
        <f t="shared" ref="AA3:AA11" si="1">C3</f>
        <v>2017</v>
      </c>
      <c r="AD3" s="38"/>
      <c r="AG3" s="38"/>
      <c r="AJ3" s="38"/>
      <c r="AM3" s="147">
        <f t="shared" ref="AM3:AM11" si="2">C3</f>
        <v>2017</v>
      </c>
    </row>
    <row r="4" spans="1:52" ht="15" customHeight="1">
      <c r="A4" s="30" t="s">
        <v>197</v>
      </c>
      <c r="C4" s="147" t="str">
        <f>IF('Set-Up Worksheet'!F4="","Data Not Entered On Set-Up Worksheet",'Set-Up Worksheet'!F4)</f>
        <v>1st Quarter</v>
      </c>
      <c r="F4" s="32"/>
      <c r="I4" s="32"/>
      <c r="L4" s="32"/>
      <c r="O4" s="147" t="str">
        <f t="shared" si="0"/>
        <v>1st Quarter</v>
      </c>
      <c r="R4" s="32"/>
      <c r="U4" s="32"/>
      <c r="X4" s="32"/>
      <c r="AA4" s="147" t="str">
        <f t="shared" si="1"/>
        <v>1st Quarter</v>
      </c>
      <c r="AD4" s="32"/>
      <c r="AG4" s="32"/>
      <c r="AJ4" s="32"/>
      <c r="AM4" s="147" t="str">
        <f t="shared" si="2"/>
        <v>1st Quarter</v>
      </c>
    </row>
    <row r="5" spans="1:52" ht="15" customHeight="1">
      <c r="A5" s="30"/>
      <c r="C5" s="32"/>
      <c r="F5" s="32"/>
      <c r="I5" s="32"/>
      <c r="L5" s="32"/>
      <c r="O5" s="39"/>
      <c r="R5" s="32"/>
      <c r="U5" s="32"/>
      <c r="X5" s="32"/>
      <c r="AA5" s="39"/>
      <c r="AD5" s="32"/>
      <c r="AG5" s="32"/>
      <c r="AJ5" s="32"/>
      <c r="AM5" s="39"/>
    </row>
    <row r="6" spans="1:52" ht="15" customHeight="1">
      <c r="A6" s="30" t="s">
        <v>247</v>
      </c>
      <c r="C6" s="32"/>
      <c r="F6" s="32"/>
      <c r="I6" s="32"/>
      <c r="L6" s="32"/>
      <c r="N6" s="30"/>
      <c r="O6" s="39"/>
      <c r="R6" s="32"/>
      <c r="U6" s="32"/>
      <c r="X6" s="32"/>
      <c r="Z6" s="30"/>
      <c r="AA6" s="39"/>
      <c r="AD6" s="32"/>
      <c r="AG6" s="32"/>
      <c r="AJ6" s="32"/>
      <c r="AL6" s="30"/>
      <c r="AM6" s="39"/>
    </row>
    <row r="7" spans="1:52" ht="15" customHeight="1">
      <c r="A7" s="30" t="s">
        <v>248</v>
      </c>
      <c r="C7" s="32"/>
      <c r="F7" s="32"/>
      <c r="I7" s="32"/>
      <c r="L7" s="32"/>
      <c r="N7" s="321" t="s">
        <v>337</v>
      </c>
      <c r="O7" s="39"/>
      <c r="R7" s="32"/>
      <c r="U7" s="32"/>
      <c r="X7" s="32"/>
      <c r="Z7" s="321" t="s">
        <v>337</v>
      </c>
      <c r="AA7" s="39"/>
      <c r="AD7" s="32"/>
      <c r="AG7" s="32"/>
      <c r="AJ7" s="32"/>
      <c r="AL7" s="321" t="s">
        <v>337</v>
      </c>
      <c r="AM7" s="39"/>
    </row>
    <row r="8" spans="1:52" ht="15" customHeight="1">
      <c r="A8" s="30"/>
      <c r="C8" s="32"/>
      <c r="F8" s="32"/>
      <c r="I8" s="32"/>
      <c r="L8" s="32"/>
      <c r="O8" s="39"/>
      <c r="R8" s="32"/>
      <c r="U8" s="32"/>
      <c r="X8" s="32"/>
      <c r="AA8" s="39"/>
      <c r="AD8" s="32"/>
      <c r="AG8" s="32"/>
      <c r="AJ8" s="32"/>
      <c r="AM8" s="39"/>
      <c r="AR8" s="54"/>
      <c r="AS8" s="54"/>
      <c r="AT8" s="55"/>
      <c r="AU8" s="54"/>
      <c r="AV8" s="54"/>
      <c r="AW8" s="54"/>
      <c r="AX8" s="54"/>
      <c r="AY8" s="30"/>
      <c r="AZ8" s="35"/>
    </row>
    <row r="9" spans="1:52" ht="15" customHeight="1">
      <c r="A9" s="30" t="s">
        <v>29</v>
      </c>
      <c r="C9" s="39" t="str">
        <f>IF('Set-Up Worksheet'!E7="","Data Not Entered On Set-Up Worksheet",'Set-Up Worksheet'!E7)</f>
        <v>Data Not Entered On Set-Up Worksheet</v>
      </c>
      <c r="F9" s="79" t="s">
        <v>308</v>
      </c>
      <c r="I9" s="39"/>
      <c r="L9" s="39"/>
      <c r="O9" s="39" t="str">
        <f t="shared" si="0"/>
        <v>Data Not Entered On Set-Up Worksheet</v>
      </c>
      <c r="R9" s="39"/>
      <c r="U9" s="39"/>
      <c r="X9" s="39"/>
      <c r="AA9" s="39" t="str">
        <f t="shared" si="1"/>
        <v>Data Not Entered On Set-Up Worksheet</v>
      </c>
      <c r="AD9" s="39"/>
      <c r="AG9" s="39"/>
      <c r="AJ9" s="39"/>
      <c r="AM9" s="39" t="str">
        <f t="shared" si="2"/>
        <v>Data Not Entered On Set-Up Worksheet</v>
      </c>
    </row>
    <row r="10" spans="1:52" ht="15" customHeight="1">
      <c r="A10" s="30" t="s">
        <v>9</v>
      </c>
      <c r="C10" s="32" t="s">
        <v>10</v>
      </c>
      <c r="F10" s="79" t="s">
        <v>309</v>
      </c>
      <c r="I10" s="32"/>
      <c r="L10" s="32"/>
      <c r="O10" s="39" t="str">
        <f t="shared" si="0"/>
        <v>Behavioral Health</v>
      </c>
      <c r="R10" s="32"/>
      <c r="U10" s="32"/>
      <c r="X10" s="32"/>
      <c r="AA10" s="39" t="str">
        <f t="shared" si="1"/>
        <v>Behavioral Health</v>
      </c>
      <c r="AD10" s="32"/>
      <c r="AG10" s="32"/>
      <c r="AJ10" s="32"/>
      <c r="AM10" s="39" t="str">
        <f t="shared" si="2"/>
        <v>Behavioral Health</v>
      </c>
    </row>
    <row r="11" spans="1:52" ht="15" customHeight="1">
      <c r="A11" s="30" t="s">
        <v>199</v>
      </c>
      <c r="C11" s="40" t="str">
        <f>IF(C4="Data Not Entered On Set-Up Worksheet","Data Not Entered On Set-Up Worksheet",IF(C4="1st Quarter",'Report Schedule'!D19,IF(C4="2nd Quarter",'Report Schedule'!E19,IF(C4="3rd Quarter",'Report Schedule'!F19,IF(C4="4th Quarter",'Report Schedule'!G19,"")))))</f>
        <v>Apr - Jun 2016</v>
      </c>
      <c r="F11" s="359" t="s">
        <v>421</v>
      </c>
      <c r="I11" s="40"/>
      <c r="L11" s="40"/>
      <c r="O11" s="40" t="str">
        <f t="shared" si="0"/>
        <v>Apr - Jun 2016</v>
      </c>
      <c r="R11" s="40"/>
      <c r="U11" s="40"/>
      <c r="X11" s="40"/>
      <c r="AA11" s="40" t="str">
        <f t="shared" si="1"/>
        <v>Apr - Jun 2016</v>
      </c>
      <c r="AD11" s="40"/>
      <c r="AG11" s="40"/>
      <c r="AJ11" s="40"/>
      <c r="AM11" s="40" t="str">
        <f t="shared" si="2"/>
        <v>Apr - Jun 2016</v>
      </c>
    </row>
    <row r="12" spans="1:52" ht="15" customHeight="1">
      <c r="A12" s="30"/>
      <c r="C12" s="40"/>
      <c r="I12" s="40"/>
      <c r="L12" s="40"/>
      <c r="O12" s="40"/>
      <c r="R12" s="40"/>
      <c r="U12" s="40"/>
      <c r="X12" s="40"/>
      <c r="AA12" s="40"/>
      <c r="AD12" s="40"/>
      <c r="AG12" s="40"/>
      <c r="AJ12" s="40"/>
      <c r="AM12" s="40"/>
    </row>
    <row r="13" spans="1:52" ht="20.100000000000001" customHeight="1">
      <c r="A13" s="312" t="s">
        <v>311</v>
      </c>
      <c r="B13" s="243" t="str">
        <f>"Measurement Period:  "&amp;$C$11</f>
        <v>Measurement Period:  Apr - Jun 2016</v>
      </c>
      <c r="C13" s="243"/>
      <c r="D13" s="243"/>
      <c r="E13" s="243"/>
      <c r="F13" s="243"/>
      <c r="G13" s="243"/>
      <c r="H13" s="243"/>
      <c r="I13" s="243"/>
      <c r="J13" s="243"/>
      <c r="K13" s="243"/>
      <c r="L13" s="243"/>
      <c r="M13" s="243"/>
      <c r="N13" s="243" t="str">
        <f>"Measurement Period:  "&amp;$C$11</f>
        <v>Measurement Period:  Apr - Jun 2016</v>
      </c>
      <c r="O13" s="243"/>
      <c r="P13" s="243"/>
      <c r="Q13" s="243"/>
      <c r="R13" s="243"/>
      <c r="S13" s="243"/>
      <c r="T13" s="243"/>
      <c r="U13" s="243"/>
      <c r="V13" s="243"/>
      <c r="W13" s="243"/>
      <c r="X13" s="243"/>
      <c r="Y13" s="243"/>
      <c r="Z13" s="243" t="str">
        <f>"Measurement Period:  "&amp;$C$11</f>
        <v>Measurement Period:  Apr - Jun 2016</v>
      </c>
      <c r="AA13" s="243"/>
      <c r="AB13" s="243"/>
      <c r="AC13" s="243"/>
      <c r="AD13" s="243"/>
      <c r="AE13" s="243"/>
      <c r="AF13" s="243"/>
      <c r="AG13" s="243"/>
      <c r="AH13" s="243"/>
      <c r="AI13" s="243"/>
      <c r="AJ13" s="243"/>
      <c r="AK13" s="243"/>
      <c r="AL13" s="243" t="str">
        <f>"Measurement Period:  "&amp;$C$11</f>
        <v>Measurement Period:  Apr - Jun 2016</v>
      </c>
      <c r="AM13" s="44"/>
      <c r="AN13" s="44"/>
    </row>
    <row r="14" spans="1:52" ht="13.5" thickBot="1"/>
    <row r="15" spans="1:52" ht="18" customHeight="1" thickBot="1">
      <c r="A15" s="226" t="s">
        <v>254</v>
      </c>
      <c r="B15" s="234" t="s">
        <v>251</v>
      </c>
      <c r="C15" s="235"/>
      <c r="D15" s="236"/>
      <c r="E15" s="63" t="s">
        <v>252</v>
      </c>
      <c r="F15" s="231"/>
      <c r="G15" s="231"/>
      <c r="H15" s="231"/>
      <c r="I15" s="231"/>
      <c r="J15" s="231"/>
      <c r="K15" s="231"/>
      <c r="L15" s="231"/>
      <c r="M15" s="232"/>
      <c r="N15" s="234" t="s">
        <v>256</v>
      </c>
      <c r="O15" s="235"/>
      <c r="P15" s="236"/>
      <c r="Q15" s="63" t="s">
        <v>257</v>
      </c>
      <c r="R15" s="231"/>
      <c r="S15" s="231"/>
      <c r="T15" s="231"/>
      <c r="U15" s="231"/>
      <c r="V15" s="231"/>
      <c r="W15" s="231"/>
      <c r="X15" s="231"/>
      <c r="Y15" s="232"/>
      <c r="Z15" s="234" t="s">
        <v>258</v>
      </c>
      <c r="AA15" s="235"/>
      <c r="AB15" s="236"/>
      <c r="AC15" s="63" t="s">
        <v>259</v>
      </c>
      <c r="AD15" s="231"/>
      <c r="AE15" s="231"/>
      <c r="AF15" s="231"/>
      <c r="AG15" s="231"/>
      <c r="AH15" s="231"/>
      <c r="AI15" s="231"/>
      <c r="AJ15" s="231"/>
      <c r="AK15" s="232"/>
      <c r="AL15" s="234" t="s">
        <v>263</v>
      </c>
      <c r="AM15" s="235"/>
      <c r="AN15" s="236"/>
    </row>
    <row r="16" spans="1:52" s="35" customFormat="1" ht="18" customHeight="1" thickBot="1">
      <c r="A16" s="233" t="s">
        <v>255</v>
      </c>
      <c r="B16" s="234" t="s">
        <v>249</v>
      </c>
      <c r="C16" s="237"/>
      <c r="D16" s="238"/>
      <c r="E16" s="63" t="s">
        <v>146</v>
      </c>
      <c r="F16" s="64"/>
      <c r="G16" s="65"/>
      <c r="H16" s="63" t="s">
        <v>250</v>
      </c>
      <c r="I16" s="64"/>
      <c r="J16" s="65"/>
      <c r="K16" s="63" t="s">
        <v>253</v>
      </c>
      <c r="L16" s="64"/>
      <c r="M16" s="65"/>
      <c r="N16" s="234" t="s">
        <v>249</v>
      </c>
      <c r="O16" s="237"/>
      <c r="P16" s="238"/>
      <c r="Q16" s="63" t="s">
        <v>146</v>
      </c>
      <c r="R16" s="64"/>
      <c r="S16" s="65"/>
      <c r="T16" s="63" t="s">
        <v>250</v>
      </c>
      <c r="U16" s="64"/>
      <c r="V16" s="65"/>
      <c r="W16" s="63" t="s">
        <v>253</v>
      </c>
      <c r="X16" s="64"/>
      <c r="Y16" s="65"/>
      <c r="Z16" s="234" t="s">
        <v>249</v>
      </c>
      <c r="AA16" s="237"/>
      <c r="AB16" s="238"/>
      <c r="AC16" s="63" t="s">
        <v>146</v>
      </c>
      <c r="AD16" s="64"/>
      <c r="AE16" s="65"/>
      <c r="AF16" s="63" t="s">
        <v>250</v>
      </c>
      <c r="AG16" s="64"/>
      <c r="AH16" s="65"/>
      <c r="AI16" s="63" t="s">
        <v>253</v>
      </c>
      <c r="AJ16" s="64"/>
      <c r="AK16" s="65"/>
      <c r="AL16" s="234" t="s">
        <v>262</v>
      </c>
      <c r="AM16" s="237"/>
      <c r="AN16" s="238"/>
    </row>
    <row r="17" spans="1:46" s="35" customFormat="1" ht="13.5" thickBot="1">
      <c r="A17" s="30"/>
      <c r="B17" s="56" t="s">
        <v>3</v>
      </c>
      <c r="C17" s="57" t="s">
        <v>4</v>
      </c>
      <c r="D17" s="58" t="s">
        <v>5</v>
      </c>
      <c r="E17" s="56" t="s">
        <v>3</v>
      </c>
      <c r="F17" s="57" t="s">
        <v>4</v>
      </c>
      <c r="G17" s="58" t="s">
        <v>5</v>
      </c>
      <c r="H17" s="56" t="s">
        <v>3</v>
      </c>
      <c r="I17" s="57" t="s">
        <v>4</v>
      </c>
      <c r="J17" s="58" t="s">
        <v>5</v>
      </c>
      <c r="K17" s="56" t="s">
        <v>3</v>
      </c>
      <c r="L17" s="57" t="s">
        <v>4</v>
      </c>
      <c r="M17" s="58" t="s">
        <v>5</v>
      </c>
      <c r="N17" s="56" t="s">
        <v>3</v>
      </c>
      <c r="O17" s="57" t="s">
        <v>4</v>
      </c>
      <c r="P17" s="58" t="s">
        <v>5</v>
      </c>
      <c r="Q17" s="56" t="s">
        <v>3</v>
      </c>
      <c r="R17" s="57" t="s">
        <v>4</v>
      </c>
      <c r="S17" s="58" t="s">
        <v>5</v>
      </c>
      <c r="T17" s="56" t="s">
        <v>3</v>
      </c>
      <c r="U17" s="57" t="s">
        <v>4</v>
      </c>
      <c r="V17" s="58" t="s">
        <v>5</v>
      </c>
      <c r="W17" s="56" t="s">
        <v>3</v>
      </c>
      <c r="X17" s="57" t="s">
        <v>4</v>
      </c>
      <c r="Y17" s="58" t="s">
        <v>5</v>
      </c>
      <c r="Z17" s="56" t="s">
        <v>3</v>
      </c>
      <c r="AA17" s="57" t="s">
        <v>4</v>
      </c>
      <c r="AB17" s="58" t="s">
        <v>5</v>
      </c>
      <c r="AC17" s="56" t="s">
        <v>3</v>
      </c>
      <c r="AD17" s="57" t="s">
        <v>4</v>
      </c>
      <c r="AE17" s="58" t="s">
        <v>5</v>
      </c>
      <c r="AF17" s="56" t="s">
        <v>3</v>
      </c>
      <c r="AG17" s="57" t="s">
        <v>4</v>
      </c>
      <c r="AH17" s="58" t="s">
        <v>5</v>
      </c>
      <c r="AI17" s="56" t="s">
        <v>3</v>
      </c>
      <c r="AJ17" s="57" t="s">
        <v>4</v>
      </c>
      <c r="AK17" s="58" t="s">
        <v>5</v>
      </c>
      <c r="AL17" s="56" t="s">
        <v>3</v>
      </c>
      <c r="AM17" s="57" t="s">
        <v>4</v>
      </c>
      <c r="AN17" s="58" t="s">
        <v>5</v>
      </c>
      <c r="AO17" s="33"/>
      <c r="AP17" s="30"/>
      <c r="AQ17" s="30"/>
      <c r="AR17" s="30"/>
      <c r="AS17" s="30"/>
      <c r="AT17" s="30"/>
    </row>
    <row r="18" spans="1:46" ht="39.950000000000003" customHeight="1">
      <c r="A18" s="75" t="s">
        <v>43</v>
      </c>
      <c r="B18" s="239" t="s">
        <v>434</v>
      </c>
      <c r="C18" s="240" t="s">
        <v>42</v>
      </c>
      <c r="D18" s="241" t="s">
        <v>435</v>
      </c>
      <c r="E18" s="66" t="s">
        <v>434</v>
      </c>
      <c r="F18" s="67" t="s">
        <v>42</v>
      </c>
      <c r="G18" s="68" t="s">
        <v>435</v>
      </c>
      <c r="H18" s="66" t="s">
        <v>434</v>
      </c>
      <c r="I18" s="67" t="s">
        <v>42</v>
      </c>
      <c r="J18" s="68" t="s">
        <v>435</v>
      </c>
      <c r="K18" s="66" t="s">
        <v>434</v>
      </c>
      <c r="L18" s="67" t="s">
        <v>42</v>
      </c>
      <c r="M18" s="68" t="s">
        <v>435</v>
      </c>
      <c r="N18" s="239" t="s">
        <v>434</v>
      </c>
      <c r="O18" s="240" t="s">
        <v>42</v>
      </c>
      <c r="P18" s="241" t="s">
        <v>435</v>
      </c>
      <c r="Q18" s="66" t="s">
        <v>434</v>
      </c>
      <c r="R18" s="67" t="s">
        <v>42</v>
      </c>
      <c r="S18" s="68" t="s">
        <v>435</v>
      </c>
      <c r="T18" s="66" t="s">
        <v>434</v>
      </c>
      <c r="U18" s="67" t="s">
        <v>42</v>
      </c>
      <c r="V18" s="68" t="s">
        <v>435</v>
      </c>
      <c r="W18" s="66" t="s">
        <v>434</v>
      </c>
      <c r="X18" s="67" t="s">
        <v>42</v>
      </c>
      <c r="Y18" s="68" t="s">
        <v>435</v>
      </c>
      <c r="Z18" s="239" t="s">
        <v>434</v>
      </c>
      <c r="AA18" s="240" t="s">
        <v>42</v>
      </c>
      <c r="AB18" s="241" t="s">
        <v>435</v>
      </c>
      <c r="AC18" s="66" t="s">
        <v>434</v>
      </c>
      <c r="AD18" s="67" t="s">
        <v>42</v>
      </c>
      <c r="AE18" s="68" t="s">
        <v>435</v>
      </c>
      <c r="AF18" s="66" t="s">
        <v>434</v>
      </c>
      <c r="AG18" s="67" t="s">
        <v>42</v>
      </c>
      <c r="AH18" s="68" t="s">
        <v>435</v>
      </c>
      <c r="AI18" s="66" t="s">
        <v>434</v>
      </c>
      <c r="AJ18" s="67" t="s">
        <v>42</v>
      </c>
      <c r="AK18" s="68" t="s">
        <v>435</v>
      </c>
      <c r="AL18" s="239" t="s">
        <v>260</v>
      </c>
      <c r="AM18" s="240" t="s">
        <v>42</v>
      </c>
      <c r="AN18" s="241" t="s">
        <v>261</v>
      </c>
    </row>
    <row r="19" spans="1:46" ht="18" customHeight="1">
      <c r="A19" s="76" t="str">
        <f>IF($C$9="Data Not Entered On Set-Up Worksheet","",IF(OR(VLOOKUP($C$9,County_Lookup_MC,2,FALSE)="",VLOOKUP($C$9,County_Lookup_MC,2,FALSE)=0),"",VLOOKUP($C$9,County_Lookup_MC,2,FALSE)))</f>
        <v/>
      </c>
      <c r="B19" s="69"/>
      <c r="C19" s="61"/>
      <c r="D19" s="70" t="str">
        <f>IF($A19="","",IF(C19=0,0,B19/C19))</f>
        <v/>
      </c>
      <c r="E19" s="69"/>
      <c r="F19" s="61"/>
      <c r="G19" s="70" t="str">
        <f>IF($A19="","",IF(F19=0,0,E19/F19))</f>
        <v/>
      </c>
      <c r="H19" s="69"/>
      <c r="I19" s="61"/>
      <c r="J19" s="70" t="str">
        <f>IF($A19="","",IF(I19=0,0,H19/I19))</f>
        <v/>
      </c>
      <c r="K19" s="74" t="str">
        <f>IF($A19="","",SUM(E19,H19))</f>
        <v/>
      </c>
      <c r="L19" s="62" t="str">
        <f>IF($A19="","",SUM(F19,I19))</f>
        <v/>
      </c>
      <c r="M19" s="70" t="str">
        <f>IF($A19="","",IF(L19=0,0,K19/L19))</f>
        <v/>
      </c>
      <c r="N19" s="69"/>
      <c r="O19" s="61"/>
      <c r="P19" s="70" t="str">
        <f>IF($A19="","",IF(O19=0,0,N19/O19))</f>
        <v/>
      </c>
      <c r="Q19" s="69"/>
      <c r="R19" s="61"/>
      <c r="S19" s="70" t="str">
        <f>IF($A19="","",IF(R19=0,0,Q19/R19))</f>
        <v/>
      </c>
      <c r="T19" s="69"/>
      <c r="U19" s="61"/>
      <c r="V19" s="70" t="str">
        <f>IF($A19="","",IF(U19=0,0,T19/U19))</f>
        <v/>
      </c>
      <c r="W19" s="74" t="str">
        <f>IF($A19="","",SUM(Q19,T19))</f>
        <v/>
      </c>
      <c r="X19" s="62" t="str">
        <f>IF($A19="","",SUM(R19,U19))</f>
        <v/>
      </c>
      <c r="Y19" s="70" t="str">
        <f>IF($A19="","",IF(X19=0,0,W19/X19))</f>
        <v/>
      </c>
      <c r="Z19" s="69"/>
      <c r="AA19" s="61"/>
      <c r="AB19" s="70" t="str">
        <f>IF($A19="","",IF(AA19=0,0,Z19/AA19))</f>
        <v/>
      </c>
      <c r="AC19" s="69"/>
      <c r="AD19" s="61"/>
      <c r="AE19" s="70" t="str">
        <f>IF($A19="","",IF(AD19=0,0,AC19/AD19))</f>
        <v/>
      </c>
      <c r="AF19" s="69"/>
      <c r="AG19" s="61"/>
      <c r="AH19" s="70" t="str">
        <f>IF($A19="","",IF(AG19=0,0,AF19/AG19))</f>
        <v/>
      </c>
      <c r="AI19" s="74" t="str">
        <f>IF($A19="","",SUM(AC19,AF19))</f>
        <v/>
      </c>
      <c r="AJ19" s="62" t="str">
        <f>IF($A19="","",SUM(AD19,AG19))</f>
        <v/>
      </c>
      <c r="AK19" s="70" t="str">
        <f>IF($A19="","",IF(AJ19=0,0,AI19/AJ19))</f>
        <v/>
      </c>
      <c r="AL19" s="69"/>
      <c r="AM19" s="61"/>
      <c r="AN19" s="70" t="str">
        <f>IF($A19="","",IF(AM19=0,0,AL19/AM19))</f>
        <v/>
      </c>
    </row>
    <row r="20" spans="1:46" ht="18" customHeight="1">
      <c r="A20" s="77" t="str">
        <f>IF($C$9="Data Not Entered On Set-Up Worksheet","",IF(OR(VLOOKUP($C$9,County_Lookup_MC,3,FALSE)="",VLOOKUP($C$9,County_Lookup_MC,3,FALSE)=0),"",VLOOKUP($C$9,County_Lookup_MC,3,FALSE)))</f>
        <v/>
      </c>
      <c r="B20" s="69"/>
      <c r="C20" s="61"/>
      <c r="D20" s="70" t="str">
        <f t="shared" ref="D20:D42" si="3">IF($A20="","",IF(C20=0,0,B20/C20))</f>
        <v/>
      </c>
      <c r="E20" s="69"/>
      <c r="F20" s="61"/>
      <c r="G20" s="70" t="str">
        <f t="shared" ref="G20:G42" si="4">IF($A20="","",IF(F20=0,0,E20/F20))</f>
        <v/>
      </c>
      <c r="H20" s="69"/>
      <c r="I20" s="61"/>
      <c r="J20" s="70" t="str">
        <f t="shared" ref="J20:J42" si="5">IF($A20="","",IF(I20=0,0,H20/I20))</f>
        <v/>
      </c>
      <c r="K20" s="74" t="str">
        <f t="shared" ref="K20:K42" si="6">IF($A20="","",SUM(E20,H20))</f>
        <v/>
      </c>
      <c r="L20" s="62" t="str">
        <f t="shared" ref="L20:L42" si="7">IF($A20="","",SUM(F20,I20))</f>
        <v/>
      </c>
      <c r="M20" s="70" t="str">
        <f t="shared" ref="M20:M42" si="8">IF($A20="","",IF(L20=0,0,K20/L20))</f>
        <v/>
      </c>
      <c r="N20" s="69"/>
      <c r="O20" s="61"/>
      <c r="P20" s="70" t="str">
        <f t="shared" ref="P20:P42" si="9">IF($A20="","",IF(O20=0,0,N20/O20))</f>
        <v/>
      </c>
      <c r="Q20" s="69"/>
      <c r="R20" s="61"/>
      <c r="S20" s="70" t="str">
        <f t="shared" ref="S20:S42" si="10">IF($A20="","",IF(R20=0,0,Q20/R20))</f>
        <v/>
      </c>
      <c r="T20" s="69"/>
      <c r="U20" s="61"/>
      <c r="V20" s="70" t="str">
        <f t="shared" ref="V20:V42" si="11">IF($A20="","",IF(U20=0,0,T20/U20))</f>
        <v/>
      </c>
      <c r="W20" s="74" t="str">
        <f t="shared" ref="W20:W42" si="12">IF($A20="","",SUM(Q20,T20))</f>
        <v/>
      </c>
      <c r="X20" s="62" t="str">
        <f t="shared" ref="X20:X42" si="13">IF($A20="","",SUM(R20,U20))</f>
        <v/>
      </c>
      <c r="Y20" s="70" t="str">
        <f t="shared" ref="Y20:Y42" si="14">IF($A20="","",IF(X20=0,0,W20/X20))</f>
        <v/>
      </c>
      <c r="Z20" s="69"/>
      <c r="AA20" s="61"/>
      <c r="AB20" s="70" t="str">
        <f t="shared" ref="AB20:AB42" si="15">IF($A20="","",IF(AA20=0,0,Z20/AA20))</f>
        <v/>
      </c>
      <c r="AC20" s="69"/>
      <c r="AD20" s="61"/>
      <c r="AE20" s="70" t="str">
        <f t="shared" ref="AE20:AE42" si="16">IF($A20="","",IF(AD20=0,0,AC20/AD20))</f>
        <v/>
      </c>
      <c r="AF20" s="69"/>
      <c r="AG20" s="61"/>
      <c r="AH20" s="70" t="str">
        <f t="shared" ref="AH20:AH42" si="17">IF($A20="","",IF(AG20=0,0,AF20/AG20))</f>
        <v/>
      </c>
      <c r="AI20" s="74" t="str">
        <f t="shared" ref="AI20:AI42" si="18">IF($A20="","",SUM(AC20,AF20))</f>
        <v/>
      </c>
      <c r="AJ20" s="62" t="str">
        <f t="shared" ref="AJ20:AJ42" si="19">IF($A20="","",SUM(AD20,AG20))</f>
        <v/>
      </c>
      <c r="AK20" s="70" t="str">
        <f t="shared" ref="AK20:AK42" si="20">IF($A20="","",IF(AJ20=0,0,AI20/AJ20))</f>
        <v/>
      </c>
      <c r="AL20" s="69"/>
      <c r="AM20" s="61"/>
      <c r="AN20" s="70" t="str">
        <f t="shared" ref="AN20:AN42" si="21">IF($A20="","",IF(AM20=0,0,AL20/AM20))</f>
        <v/>
      </c>
    </row>
    <row r="21" spans="1:46" ht="18" customHeight="1">
      <c r="A21" s="77" t="str">
        <f>IF($C$9="Data Not Entered On Set-Up Worksheet","",IF(OR(VLOOKUP($C$9,County_Lookup_MC,4,FALSE)="",VLOOKUP($C$9,County_Lookup_MC,4,FALSE)=0),"",VLOOKUP($C$9,County_Lookup_MC,4,FALSE)))</f>
        <v/>
      </c>
      <c r="B21" s="69"/>
      <c r="C21" s="61"/>
      <c r="D21" s="70" t="str">
        <f t="shared" si="3"/>
        <v/>
      </c>
      <c r="E21" s="69"/>
      <c r="F21" s="61"/>
      <c r="G21" s="70" t="str">
        <f t="shared" si="4"/>
        <v/>
      </c>
      <c r="H21" s="69"/>
      <c r="I21" s="61"/>
      <c r="J21" s="70" t="str">
        <f t="shared" si="5"/>
        <v/>
      </c>
      <c r="K21" s="74" t="str">
        <f t="shared" si="6"/>
        <v/>
      </c>
      <c r="L21" s="62" t="str">
        <f t="shared" si="7"/>
        <v/>
      </c>
      <c r="M21" s="70" t="str">
        <f t="shared" si="8"/>
        <v/>
      </c>
      <c r="N21" s="69"/>
      <c r="O21" s="61"/>
      <c r="P21" s="70" t="str">
        <f t="shared" si="9"/>
        <v/>
      </c>
      <c r="Q21" s="69"/>
      <c r="R21" s="61"/>
      <c r="S21" s="70" t="str">
        <f t="shared" si="10"/>
        <v/>
      </c>
      <c r="T21" s="69"/>
      <c r="U21" s="61"/>
      <c r="V21" s="70" t="str">
        <f t="shared" si="11"/>
        <v/>
      </c>
      <c r="W21" s="74" t="str">
        <f t="shared" si="12"/>
        <v/>
      </c>
      <c r="X21" s="62" t="str">
        <f t="shared" si="13"/>
        <v/>
      </c>
      <c r="Y21" s="70" t="str">
        <f t="shared" si="14"/>
        <v/>
      </c>
      <c r="Z21" s="69"/>
      <c r="AA21" s="61"/>
      <c r="AB21" s="70" t="str">
        <f t="shared" si="15"/>
        <v/>
      </c>
      <c r="AC21" s="69"/>
      <c r="AD21" s="61"/>
      <c r="AE21" s="70" t="str">
        <f t="shared" si="16"/>
        <v/>
      </c>
      <c r="AF21" s="69"/>
      <c r="AG21" s="61"/>
      <c r="AH21" s="70" t="str">
        <f t="shared" si="17"/>
        <v/>
      </c>
      <c r="AI21" s="74" t="str">
        <f t="shared" si="18"/>
        <v/>
      </c>
      <c r="AJ21" s="62" t="str">
        <f t="shared" si="19"/>
        <v/>
      </c>
      <c r="AK21" s="70" t="str">
        <f t="shared" si="20"/>
        <v/>
      </c>
      <c r="AL21" s="69"/>
      <c r="AM21" s="61"/>
      <c r="AN21" s="70" t="str">
        <f t="shared" si="21"/>
        <v/>
      </c>
    </row>
    <row r="22" spans="1:46" ht="18" customHeight="1">
      <c r="A22" s="77" t="str">
        <f>IF($C$9="Data Not Entered On Set-Up Worksheet","",IF(OR(VLOOKUP($C$9,County_Lookup_MC,5,FALSE)="",VLOOKUP($C$9,County_Lookup_MC,5,FALSE)=0),"",VLOOKUP($C$9,County_Lookup_MC,5,FALSE)))</f>
        <v/>
      </c>
      <c r="B22" s="69"/>
      <c r="C22" s="61"/>
      <c r="D22" s="70" t="str">
        <f t="shared" si="3"/>
        <v/>
      </c>
      <c r="E22" s="69"/>
      <c r="F22" s="61"/>
      <c r="G22" s="70" t="str">
        <f t="shared" si="4"/>
        <v/>
      </c>
      <c r="H22" s="69"/>
      <c r="I22" s="61"/>
      <c r="J22" s="70" t="str">
        <f t="shared" si="5"/>
        <v/>
      </c>
      <c r="K22" s="74" t="str">
        <f t="shared" si="6"/>
        <v/>
      </c>
      <c r="L22" s="62" t="str">
        <f t="shared" si="7"/>
        <v/>
      </c>
      <c r="M22" s="70" t="str">
        <f t="shared" si="8"/>
        <v/>
      </c>
      <c r="N22" s="69"/>
      <c r="O22" s="61"/>
      <c r="P22" s="70" t="str">
        <f t="shared" si="9"/>
        <v/>
      </c>
      <c r="Q22" s="69"/>
      <c r="R22" s="61"/>
      <c r="S22" s="70" t="str">
        <f t="shared" si="10"/>
        <v/>
      </c>
      <c r="T22" s="69"/>
      <c r="U22" s="61"/>
      <c r="V22" s="70" t="str">
        <f t="shared" si="11"/>
        <v/>
      </c>
      <c r="W22" s="74" t="str">
        <f t="shared" si="12"/>
        <v/>
      </c>
      <c r="X22" s="62" t="str">
        <f t="shared" si="13"/>
        <v/>
      </c>
      <c r="Y22" s="70" t="str">
        <f t="shared" si="14"/>
        <v/>
      </c>
      <c r="Z22" s="69"/>
      <c r="AA22" s="61"/>
      <c r="AB22" s="70" t="str">
        <f t="shared" si="15"/>
        <v/>
      </c>
      <c r="AC22" s="69"/>
      <c r="AD22" s="61"/>
      <c r="AE22" s="70" t="str">
        <f t="shared" si="16"/>
        <v/>
      </c>
      <c r="AF22" s="69"/>
      <c r="AG22" s="61"/>
      <c r="AH22" s="70" t="str">
        <f t="shared" si="17"/>
        <v/>
      </c>
      <c r="AI22" s="74" t="str">
        <f t="shared" si="18"/>
        <v/>
      </c>
      <c r="AJ22" s="62" t="str">
        <f t="shared" si="19"/>
        <v/>
      </c>
      <c r="AK22" s="70" t="str">
        <f t="shared" si="20"/>
        <v/>
      </c>
      <c r="AL22" s="69"/>
      <c r="AM22" s="61"/>
      <c r="AN22" s="70" t="str">
        <f t="shared" si="21"/>
        <v/>
      </c>
    </row>
    <row r="23" spans="1:46" ht="18" customHeight="1">
      <c r="A23" s="77" t="str">
        <f>IF($C$9="Data Not Entered On Set-Up Worksheet","",IF(OR(VLOOKUP($C$9,County_Lookup_MC,6,FALSE)="",VLOOKUP($C$9,County_Lookup_MC,6,FALSE)=0),"",VLOOKUP($C$9,County_Lookup_MC,6,FALSE)))</f>
        <v/>
      </c>
      <c r="B23" s="69"/>
      <c r="C23" s="61"/>
      <c r="D23" s="70" t="str">
        <f t="shared" si="3"/>
        <v/>
      </c>
      <c r="E23" s="69"/>
      <c r="F23" s="61"/>
      <c r="G23" s="70" t="str">
        <f t="shared" si="4"/>
        <v/>
      </c>
      <c r="H23" s="69"/>
      <c r="I23" s="61"/>
      <c r="J23" s="70" t="str">
        <f t="shared" si="5"/>
        <v/>
      </c>
      <c r="K23" s="74" t="str">
        <f t="shared" si="6"/>
        <v/>
      </c>
      <c r="L23" s="62" t="str">
        <f t="shared" si="7"/>
        <v/>
      </c>
      <c r="M23" s="70" t="str">
        <f t="shared" si="8"/>
        <v/>
      </c>
      <c r="N23" s="69"/>
      <c r="O23" s="61"/>
      <c r="P23" s="70" t="str">
        <f t="shared" si="9"/>
        <v/>
      </c>
      <c r="Q23" s="69"/>
      <c r="R23" s="61"/>
      <c r="S23" s="70" t="str">
        <f t="shared" si="10"/>
        <v/>
      </c>
      <c r="T23" s="69"/>
      <c r="U23" s="61"/>
      <c r="V23" s="70" t="str">
        <f t="shared" si="11"/>
        <v/>
      </c>
      <c r="W23" s="74" t="str">
        <f t="shared" si="12"/>
        <v/>
      </c>
      <c r="X23" s="62" t="str">
        <f t="shared" si="13"/>
        <v/>
      </c>
      <c r="Y23" s="70" t="str">
        <f t="shared" si="14"/>
        <v/>
      </c>
      <c r="Z23" s="69"/>
      <c r="AA23" s="61"/>
      <c r="AB23" s="70" t="str">
        <f t="shared" si="15"/>
        <v/>
      </c>
      <c r="AC23" s="69"/>
      <c r="AD23" s="61"/>
      <c r="AE23" s="70" t="str">
        <f t="shared" si="16"/>
        <v/>
      </c>
      <c r="AF23" s="69"/>
      <c r="AG23" s="61"/>
      <c r="AH23" s="70" t="str">
        <f t="shared" si="17"/>
        <v/>
      </c>
      <c r="AI23" s="74" t="str">
        <f t="shared" si="18"/>
        <v/>
      </c>
      <c r="AJ23" s="62" t="str">
        <f t="shared" si="19"/>
        <v/>
      </c>
      <c r="AK23" s="70" t="str">
        <f t="shared" si="20"/>
        <v/>
      </c>
      <c r="AL23" s="69"/>
      <c r="AM23" s="61"/>
      <c r="AN23" s="70" t="str">
        <f t="shared" si="21"/>
        <v/>
      </c>
    </row>
    <row r="24" spans="1:46" ht="18" customHeight="1">
      <c r="A24" s="77" t="str">
        <f>IF($C$9="Data Not Entered On Set-Up Worksheet","",IF(OR(VLOOKUP($C$9,County_Lookup_MC,7,FALSE)="",VLOOKUP($C$9,County_Lookup_MC,7,FALSE)=0),"",VLOOKUP($C$9,County_Lookup_MC,7,FALSE)))</f>
        <v/>
      </c>
      <c r="B24" s="69"/>
      <c r="C24" s="61"/>
      <c r="D24" s="70" t="str">
        <f t="shared" si="3"/>
        <v/>
      </c>
      <c r="E24" s="69"/>
      <c r="F24" s="61"/>
      <c r="G24" s="70" t="str">
        <f t="shared" si="4"/>
        <v/>
      </c>
      <c r="H24" s="69"/>
      <c r="I24" s="61"/>
      <c r="J24" s="70" t="str">
        <f t="shared" si="5"/>
        <v/>
      </c>
      <c r="K24" s="74" t="str">
        <f t="shared" si="6"/>
        <v/>
      </c>
      <c r="L24" s="62" t="str">
        <f t="shared" si="7"/>
        <v/>
      </c>
      <c r="M24" s="70" t="str">
        <f t="shared" si="8"/>
        <v/>
      </c>
      <c r="N24" s="69"/>
      <c r="O24" s="61"/>
      <c r="P24" s="70" t="str">
        <f t="shared" si="9"/>
        <v/>
      </c>
      <c r="Q24" s="69"/>
      <c r="R24" s="61"/>
      <c r="S24" s="70" t="str">
        <f t="shared" si="10"/>
        <v/>
      </c>
      <c r="T24" s="69"/>
      <c r="U24" s="61"/>
      <c r="V24" s="70" t="str">
        <f t="shared" si="11"/>
        <v/>
      </c>
      <c r="W24" s="74" t="str">
        <f t="shared" si="12"/>
        <v/>
      </c>
      <c r="X24" s="62" t="str">
        <f t="shared" si="13"/>
        <v/>
      </c>
      <c r="Y24" s="70" t="str">
        <f t="shared" si="14"/>
        <v/>
      </c>
      <c r="Z24" s="69"/>
      <c r="AA24" s="61"/>
      <c r="AB24" s="70" t="str">
        <f t="shared" si="15"/>
        <v/>
      </c>
      <c r="AC24" s="69"/>
      <c r="AD24" s="61"/>
      <c r="AE24" s="70" t="str">
        <f t="shared" si="16"/>
        <v/>
      </c>
      <c r="AF24" s="69"/>
      <c r="AG24" s="61"/>
      <c r="AH24" s="70" t="str">
        <f t="shared" si="17"/>
        <v/>
      </c>
      <c r="AI24" s="74" t="str">
        <f t="shared" si="18"/>
        <v/>
      </c>
      <c r="AJ24" s="62" t="str">
        <f t="shared" si="19"/>
        <v/>
      </c>
      <c r="AK24" s="70" t="str">
        <f t="shared" si="20"/>
        <v/>
      </c>
      <c r="AL24" s="69"/>
      <c r="AM24" s="61"/>
      <c r="AN24" s="70" t="str">
        <f t="shared" si="21"/>
        <v/>
      </c>
    </row>
    <row r="25" spans="1:46" ht="18" customHeight="1">
      <c r="A25" s="76" t="str">
        <f>IF($C$9="Data Not Entered On Set-Up Worksheet","",IF(OR(VLOOKUP($C$9,County_Lookup_MC,8,FALSE)="",VLOOKUP($C$9,County_Lookup_MC,8,FALSE)=0),"",VLOOKUP($C$9,County_Lookup_MC,8,FALSE)))</f>
        <v/>
      </c>
      <c r="B25" s="69"/>
      <c r="C25" s="61"/>
      <c r="D25" s="70" t="str">
        <f t="shared" si="3"/>
        <v/>
      </c>
      <c r="E25" s="69"/>
      <c r="F25" s="61"/>
      <c r="G25" s="70" t="str">
        <f t="shared" si="4"/>
        <v/>
      </c>
      <c r="H25" s="69"/>
      <c r="I25" s="61"/>
      <c r="J25" s="70" t="str">
        <f t="shared" si="5"/>
        <v/>
      </c>
      <c r="K25" s="74" t="str">
        <f t="shared" si="6"/>
        <v/>
      </c>
      <c r="L25" s="62" t="str">
        <f t="shared" si="7"/>
        <v/>
      </c>
      <c r="M25" s="70" t="str">
        <f t="shared" si="8"/>
        <v/>
      </c>
      <c r="N25" s="69"/>
      <c r="O25" s="61"/>
      <c r="P25" s="70" t="str">
        <f t="shared" si="9"/>
        <v/>
      </c>
      <c r="Q25" s="69"/>
      <c r="R25" s="61"/>
      <c r="S25" s="70" t="str">
        <f t="shared" si="10"/>
        <v/>
      </c>
      <c r="T25" s="69"/>
      <c r="U25" s="61"/>
      <c r="V25" s="70" t="str">
        <f t="shared" si="11"/>
        <v/>
      </c>
      <c r="W25" s="74" t="str">
        <f t="shared" si="12"/>
        <v/>
      </c>
      <c r="X25" s="62" t="str">
        <f t="shared" si="13"/>
        <v/>
      </c>
      <c r="Y25" s="70" t="str">
        <f t="shared" si="14"/>
        <v/>
      </c>
      <c r="Z25" s="69"/>
      <c r="AA25" s="61"/>
      <c r="AB25" s="70" t="str">
        <f t="shared" si="15"/>
        <v/>
      </c>
      <c r="AC25" s="69"/>
      <c r="AD25" s="61"/>
      <c r="AE25" s="70" t="str">
        <f t="shared" si="16"/>
        <v/>
      </c>
      <c r="AF25" s="69"/>
      <c r="AG25" s="61"/>
      <c r="AH25" s="70" t="str">
        <f t="shared" si="17"/>
        <v/>
      </c>
      <c r="AI25" s="74" t="str">
        <f t="shared" si="18"/>
        <v/>
      </c>
      <c r="AJ25" s="62" t="str">
        <f t="shared" si="19"/>
        <v/>
      </c>
      <c r="AK25" s="70" t="str">
        <f t="shared" si="20"/>
        <v/>
      </c>
      <c r="AL25" s="69"/>
      <c r="AM25" s="61"/>
      <c r="AN25" s="70" t="str">
        <f t="shared" si="21"/>
        <v/>
      </c>
    </row>
    <row r="26" spans="1:46" ht="18" customHeight="1">
      <c r="A26" s="77" t="str">
        <f>IF($C$9="Data Not Entered On Set-Up Worksheet","",IF(OR(VLOOKUP($C$9,County_Lookup_MC,9,FALSE)="",VLOOKUP($C$9,County_Lookup_MC,9,FALSE)=0),"",VLOOKUP($C$9,County_Lookup_MC,9,FALSE)))</f>
        <v/>
      </c>
      <c r="B26" s="69"/>
      <c r="C26" s="61"/>
      <c r="D26" s="70" t="str">
        <f t="shared" si="3"/>
        <v/>
      </c>
      <c r="E26" s="69"/>
      <c r="F26" s="61"/>
      <c r="G26" s="70" t="str">
        <f t="shared" si="4"/>
        <v/>
      </c>
      <c r="H26" s="69"/>
      <c r="I26" s="61"/>
      <c r="J26" s="70" t="str">
        <f t="shared" si="5"/>
        <v/>
      </c>
      <c r="K26" s="74" t="str">
        <f t="shared" si="6"/>
        <v/>
      </c>
      <c r="L26" s="62" t="str">
        <f t="shared" si="7"/>
        <v/>
      </c>
      <c r="M26" s="70" t="str">
        <f t="shared" si="8"/>
        <v/>
      </c>
      <c r="N26" s="69"/>
      <c r="O26" s="61"/>
      <c r="P26" s="70" t="str">
        <f t="shared" si="9"/>
        <v/>
      </c>
      <c r="Q26" s="69"/>
      <c r="R26" s="61"/>
      <c r="S26" s="70" t="str">
        <f t="shared" si="10"/>
        <v/>
      </c>
      <c r="T26" s="69"/>
      <c r="U26" s="61"/>
      <c r="V26" s="70" t="str">
        <f t="shared" si="11"/>
        <v/>
      </c>
      <c r="W26" s="74" t="str">
        <f t="shared" si="12"/>
        <v/>
      </c>
      <c r="X26" s="62" t="str">
        <f t="shared" si="13"/>
        <v/>
      </c>
      <c r="Y26" s="70" t="str">
        <f t="shared" si="14"/>
        <v/>
      </c>
      <c r="Z26" s="69"/>
      <c r="AA26" s="61"/>
      <c r="AB26" s="70" t="str">
        <f t="shared" si="15"/>
        <v/>
      </c>
      <c r="AC26" s="69"/>
      <c r="AD26" s="61"/>
      <c r="AE26" s="70" t="str">
        <f t="shared" si="16"/>
        <v/>
      </c>
      <c r="AF26" s="69"/>
      <c r="AG26" s="61"/>
      <c r="AH26" s="70" t="str">
        <f t="shared" si="17"/>
        <v/>
      </c>
      <c r="AI26" s="74" t="str">
        <f t="shared" si="18"/>
        <v/>
      </c>
      <c r="AJ26" s="62" t="str">
        <f t="shared" si="19"/>
        <v/>
      </c>
      <c r="AK26" s="70" t="str">
        <f t="shared" si="20"/>
        <v/>
      </c>
      <c r="AL26" s="69"/>
      <c r="AM26" s="61"/>
      <c r="AN26" s="70" t="str">
        <f t="shared" si="21"/>
        <v/>
      </c>
    </row>
    <row r="27" spans="1:46" ht="18" customHeight="1">
      <c r="A27" s="77" t="str">
        <f>IF($C$9="Data Not Entered On Set-Up Worksheet","",IF(OR(VLOOKUP($C$9,County_Lookup_MC,10,FALSE)="",VLOOKUP($C$9,County_Lookup_MC,10,FALSE)=0),"",VLOOKUP($C$9,County_Lookup_MC,10,FALSE)))</f>
        <v/>
      </c>
      <c r="B27" s="69"/>
      <c r="C27" s="61"/>
      <c r="D27" s="70" t="str">
        <f t="shared" si="3"/>
        <v/>
      </c>
      <c r="E27" s="69"/>
      <c r="F27" s="61"/>
      <c r="G27" s="70" t="str">
        <f t="shared" si="4"/>
        <v/>
      </c>
      <c r="H27" s="69"/>
      <c r="I27" s="61"/>
      <c r="J27" s="70" t="str">
        <f t="shared" si="5"/>
        <v/>
      </c>
      <c r="K27" s="74" t="str">
        <f t="shared" si="6"/>
        <v/>
      </c>
      <c r="L27" s="62" t="str">
        <f t="shared" si="7"/>
        <v/>
      </c>
      <c r="M27" s="70" t="str">
        <f t="shared" si="8"/>
        <v/>
      </c>
      <c r="N27" s="69"/>
      <c r="O27" s="61"/>
      <c r="P27" s="70" t="str">
        <f t="shared" si="9"/>
        <v/>
      </c>
      <c r="Q27" s="69"/>
      <c r="R27" s="61"/>
      <c r="S27" s="70" t="str">
        <f t="shared" si="10"/>
        <v/>
      </c>
      <c r="T27" s="69"/>
      <c r="U27" s="61"/>
      <c r="V27" s="70" t="str">
        <f t="shared" si="11"/>
        <v/>
      </c>
      <c r="W27" s="74" t="str">
        <f t="shared" si="12"/>
        <v/>
      </c>
      <c r="X27" s="62" t="str">
        <f t="shared" si="13"/>
        <v/>
      </c>
      <c r="Y27" s="70" t="str">
        <f t="shared" si="14"/>
        <v/>
      </c>
      <c r="Z27" s="69"/>
      <c r="AA27" s="61"/>
      <c r="AB27" s="70" t="str">
        <f t="shared" si="15"/>
        <v/>
      </c>
      <c r="AC27" s="69"/>
      <c r="AD27" s="61"/>
      <c r="AE27" s="70" t="str">
        <f t="shared" si="16"/>
        <v/>
      </c>
      <c r="AF27" s="69"/>
      <c r="AG27" s="61"/>
      <c r="AH27" s="70" t="str">
        <f t="shared" si="17"/>
        <v/>
      </c>
      <c r="AI27" s="74" t="str">
        <f t="shared" si="18"/>
        <v/>
      </c>
      <c r="AJ27" s="62" t="str">
        <f t="shared" si="19"/>
        <v/>
      </c>
      <c r="AK27" s="70" t="str">
        <f t="shared" si="20"/>
        <v/>
      </c>
      <c r="AL27" s="69"/>
      <c r="AM27" s="61"/>
      <c r="AN27" s="70" t="str">
        <f t="shared" si="21"/>
        <v/>
      </c>
    </row>
    <row r="28" spans="1:46" ht="18" customHeight="1">
      <c r="A28" s="77" t="str">
        <f>IF($C$9="Data Not Entered On Set-Up Worksheet","",IF(OR(VLOOKUP($C$9,County_Lookup_MC,11,FALSE)="",VLOOKUP($C$9,County_Lookup_MC,11,FALSE)=0),"",VLOOKUP($C$9,County_Lookup_MC,11,FALSE)))</f>
        <v/>
      </c>
      <c r="B28" s="69"/>
      <c r="C28" s="61"/>
      <c r="D28" s="70" t="str">
        <f t="shared" si="3"/>
        <v/>
      </c>
      <c r="E28" s="69"/>
      <c r="F28" s="61"/>
      <c r="G28" s="70" t="str">
        <f t="shared" si="4"/>
        <v/>
      </c>
      <c r="H28" s="69"/>
      <c r="I28" s="61"/>
      <c r="J28" s="70" t="str">
        <f t="shared" si="5"/>
        <v/>
      </c>
      <c r="K28" s="74" t="str">
        <f t="shared" si="6"/>
        <v/>
      </c>
      <c r="L28" s="62" t="str">
        <f t="shared" si="7"/>
        <v/>
      </c>
      <c r="M28" s="70" t="str">
        <f t="shared" si="8"/>
        <v/>
      </c>
      <c r="N28" s="69"/>
      <c r="O28" s="61"/>
      <c r="P28" s="70" t="str">
        <f t="shared" si="9"/>
        <v/>
      </c>
      <c r="Q28" s="69"/>
      <c r="R28" s="61"/>
      <c r="S28" s="70" t="str">
        <f t="shared" si="10"/>
        <v/>
      </c>
      <c r="T28" s="69"/>
      <c r="U28" s="61"/>
      <c r="V28" s="70" t="str">
        <f t="shared" si="11"/>
        <v/>
      </c>
      <c r="W28" s="74" t="str">
        <f t="shared" si="12"/>
        <v/>
      </c>
      <c r="X28" s="62" t="str">
        <f t="shared" si="13"/>
        <v/>
      </c>
      <c r="Y28" s="70" t="str">
        <f t="shared" si="14"/>
        <v/>
      </c>
      <c r="Z28" s="69"/>
      <c r="AA28" s="61"/>
      <c r="AB28" s="70" t="str">
        <f t="shared" si="15"/>
        <v/>
      </c>
      <c r="AC28" s="69"/>
      <c r="AD28" s="61"/>
      <c r="AE28" s="70" t="str">
        <f t="shared" si="16"/>
        <v/>
      </c>
      <c r="AF28" s="69"/>
      <c r="AG28" s="61"/>
      <c r="AH28" s="70" t="str">
        <f t="shared" si="17"/>
        <v/>
      </c>
      <c r="AI28" s="74" t="str">
        <f t="shared" si="18"/>
        <v/>
      </c>
      <c r="AJ28" s="62" t="str">
        <f t="shared" si="19"/>
        <v/>
      </c>
      <c r="AK28" s="70" t="str">
        <f t="shared" si="20"/>
        <v/>
      </c>
      <c r="AL28" s="69"/>
      <c r="AM28" s="61"/>
      <c r="AN28" s="70" t="str">
        <f t="shared" si="21"/>
        <v/>
      </c>
    </row>
    <row r="29" spans="1:46" ht="18" customHeight="1">
      <c r="A29" s="77" t="str">
        <f>IF($C$9="Data Not Entered On Set-Up Worksheet","",IF(OR(VLOOKUP($C$9,County_Lookup_MC,12,FALSE)="",VLOOKUP($C$9,County_Lookup_MC,12,FALSE)=0),"",VLOOKUP($C$9,County_Lookup_MC,12,FALSE)))</f>
        <v/>
      </c>
      <c r="B29" s="69"/>
      <c r="C29" s="61"/>
      <c r="D29" s="70" t="str">
        <f t="shared" si="3"/>
        <v/>
      </c>
      <c r="E29" s="69"/>
      <c r="F29" s="61"/>
      <c r="G29" s="70" t="str">
        <f t="shared" si="4"/>
        <v/>
      </c>
      <c r="H29" s="69"/>
      <c r="I29" s="61"/>
      <c r="J29" s="70" t="str">
        <f t="shared" si="5"/>
        <v/>
      </c>
      <c r="K29" s="74" t="str">
        <f t="shared" si="6"/>
        <v/>
      </c>
      <c r="L29" s="62" t="str">
        <f t="shared" si="7"/>
        <v/>
      </c>
      <c r="M29" s="70" t="str">
        <f t="shared" si="8"/>
        <v/>
      </c>
      <c r="N29" s="69"/>
      <c r="O29" s="61"/>
      <c r="P29" s="70" t="str">
        <f t="shared" si="9"/>
        <v/>
      </c>
      <c r="Q29" s="69"/>
      <c r="R29" s="61"/>
      <c r="S29" s="70" t="str">
        <f t="shared" si="10"/>
        <v/>
      </c>
      <c r="T29" s="69"/>
      <c r="U29" s="61"/>
      <c r="V29" s="70" t="str">
        <f t="shared" si="11"/>
        <v/>
      </c>
      <c r="W29" s="74" t="str">
        <f t="shared" si="12"/>
        <v/>
      </c>
      <c r="X29" s="62" t="str">
        <f t="shared" si="13"/>
        <v/>
      </c>
      <c r="Y29" s="70" t="str">
        <f t="shared" si="14"/>
        <v/>
      </c>
      <c r="Z29" s="69"/>
      <c r="AA29" s="61"/>
      <c r="AB29" s="70" t="str">
        <f t="shared" si="15"/>
        <v/>
      </c>
      <c r="AC29" s="69"/>
      <c r="AD29" s="61"/>
      <c r="AE29" s="70" t="str">
        <f t="shared" si="16"/>
        <v/>
      </c>
      <c r="AF29" s="69"/>
      <c r="AG29" s="61"/>
      <c r="AH29" s="70" t="str">
        <f t="shared" si="17"/>
        <v/>
      </c>
      <c r="AI29" s="74" t="str">
        <f t="shared" si="18"/>
        <v/>
      </c>
      <c r="AJ29" s="62" t="str">
        <f t="shared" si="19"/>
        <v/>
      </c>
      <c r="AK29" s="70" t="str">
        <f t="shared" si="20"/>
        <v/>
      </c>
      <c r="AL29" s="69"/>
      <c r="AM29" s="61"/>
      <c r="AN29" s="70" t="str">
        <f t="shared" si="21"/>
        <v/>
      </c>
    </row>
    <row r="30" spans="1:46" ht="18" customHeight="1">
      <c r="A30" s="77" t="str">
        <f>IF($C$9="Data Not Entered On Set-Up Worksheet","",IF(OR(VLOOKUP($C$9,County_Lookup_MC,13,FALSE)="",VLOOKUP($C$9,County_Lookup_MC,13,FALSE)=0),"",VLOOKUP($C$9,County_Lookup_MC,13,FALSE)))</f>
        <v/>
      </c>
      <c r="B30" s="69"/>
      <c r="C30" s="61"/>
      <c r="D30" s="70" t="str">
        <f t="shared" si="3"/>
        <v/>
      </c>
      <c r="E30" s="69"/>
      <c r="F30" s="61"/>
      <c r="G30" s="70" t="str">
        <f t="shared" si="4"/>
        <v/>
      </c>
      <c r="H30" s="69"/>
      <c r="I30" s="61"/>
      <c r="J30" s="70" t="str">
        <f t="shared" si="5"/>
        <v/>
      </c>
      <c r="K30" s="74" t="str">
        <f t="shared" si="6"/>
        <v/>
      </c>
      <c r="L30" s="62" t="str">
        <f t="shared" si="7"/>
        <v/>
      </c>
      <c r="M30" s="70" t="str">
        <f t="shared" si="8"/>
        <v/>
      </c>
      <c r="N30" s="69"/>
      <c r="O30" s="61"/>
      <c r="P30" s="70" t="str">
        <f t="shared" si="9"/>
        <v/>
      </c>
      <c r="Q30" s="69"/>
      <c r="R30" s="61"/>
      <c r="S30" s="70" t="str">
        <f t="shared" si="10"/>
        <v/>
      </c>
      <c r="T30" s="69"/>
      <c r="U30" s="61"/>
      <c r="V30" s="70" t="str">
        <f t="shared" si="11"/>
        <v/>
      </c>
      <c r="W30" s="74" t="str">
        <f t="shared" si="12"/>
        <v/>
      </c>
      <c r="X30" s="62" t="str">
        <f t="shared" si="13"/>
        <v/>
      </c>
      <c r="Y30" s="70" t="str">
        <f t="shared" si="14"/>
        <v/>
      </c>
      <c r="Z30" s="69"/>
      <c r="AA30" s="61"/>
      <c r="AB30" s="70" t="str">
        <f t="shared" si="15"/>
        <v/>
      </c>
      <c r="AC30" s="69"/>
      <c r="AD30" s="61"/>
      <c r="AE30" s="70" t="str">
        <f t="shared" si="16"/>
        <v/>
      </c>
      <c r="AF30" s="69"/>
      <c r="AG30" s="61"/>
      <c r="AH30" s="70" t="str">
        <f t="shared" si="17"/>
        <v/>
      </c>
      <c r="AI30" s="74" t="str">
        <f t="shared" si="18"/>
        <v/>
      </c>
      <c r="AJ30" s="62" t="str">
        <f t="shared" si="19"/>
        <v/>
      </c>
      <c r="AK30" s="70" t="str">
        <f t="shared" si="20"/>
        <v/>
      </c>
      <c r="AL30" s="69"/>
      <c r="AM30" s="61"/>
      <c r="AN30" s="70" t="str">
        <f t="shared" si="21"/>
        <v/>
      </c>
    </row>
    <row r="31" spans="1:46" ht="18" customHeight="1">
      <c r="A31" s="77" t="str">
        <f>IF($C$9="Data Not Entered On Set-Up Worksheet","",IF(OR(VLOOKUP($C$9,County_Lookup_MC,14,FALSE)="",VLOOKUP($C$9,County_Lookup_MC,14,FALSE)=0),"",VLOOKUP($C$9,County_Lookup_MC,14,FALSE)))</f>
        <v/>
      </c>
      <c r="B31" s="69"/>
      <c r="C31" s="61"/>
      <c r="D31" s="70" t="str">
        <f t="shared" si="3"/>
        <v/>
      </c>
      <c r="E31" s="69"/>
      <c r="F31" s="61"/>
      <c r="G31" s="70" t="str">
        <f t="shared" si="4"/>
        <v/>
      </c>
      <c r="H31" s="69"/>
      <c r="I31" s="61"/>
      <c r="J31" s="70" t="str">
        <f t="shared" si="5"/>
        <v/>
      </c>
      <c r="K31" s="74" t="str">
        <f t="shared" si="6"/>
        <v/>
      </c>
      <c r="L31" s="62" t="str">
        <f t="shared" si="7"/>
        <v/>
      </c>
      <c r="M31" s="70" t="str">
        <f t="shared" si="8"/>
        <v/>
      </c>
      <c r="N31" s="69"/>
      <c r="O31" s="61"/>
      <c r="P31" s="70" t="str">
        <f t="shared" si="9"/>
        <v/>
      </c>
      <c r="Q31" s="69"/>
      <c r="R31" s="61"/>
      <c r="S31" s="70" t="str">
        <f t="shared" si="10"/>
        <v/>
      </c>
      <c r="T31" s="69"/>
      <c r="U31" s="61"/>
      <c r="V31" s="70" t="str">
        <f t="shared" si="11"/>
        <v/>
      </c>
      <c r="W31" s="74" t="str">
        <f t="shared" si="12"/>
        <v/>
      </c>
      <c r="X31" s="62" t="str">
        <f t="shared" si="13"/>
        <v/>
      </c>
      <c r="Y31" s="70" t="str">
        <f t="shared" si="14"/>
        <v/>
      </c>
      <c r="Z31" s="69"/>
      <c r="AA31" s="61"/>
      <c r="AB31" s="70" t="str">
        <f t="shared" si="15"/>
        <v/>
      </c>
      <c r="AC31" s="69"/>
      <c r="AD31" s="61"/>
      <c r="AE31" s="70" t="str">
        <f t="shared" si="16"/>
        <v/>
      </c>
      <c r="AF31" s="69"/>
      <c r="AG31" s="61"/>
      <c r="AH31" s="70" t="str">
        <f t="shared" si="17"/>
        <v/>
      </c>
      <c r="AI31" s="74" t="str">
        <f t="shared" si="18"/>
        <v/>
      </c>
      <c r="AJ31" s="62" t="str">
        <f t="shared" si="19"/>
        <v/>
      </c>
      <c r="AK31" s="70" t="str">
        <f t="shared" si="20"/>
        <v/>
      </c>
      <c r="AL31" s="69"/>
      <c r="AM31" s="61"/>
      <c r="AN31" s="70" t="str">
        <f t="shared" si="21"/>
        <v/>
      </c>
    </row>
    <row r="32" spans="1:46" ht="18" customHeight="1">
      <c r="A32" s="76" t="str">
        <f>IF($C$9="Data Not Entered On Set-Up Worksheet","",IF(OR(VLOOKUP($C$9,County_Lookup_MC,15,FALSE)="",VLOOKUP($C$9,County_Lookup_MC,15,FALSE)=0),"",VLOOKUP($C$9,County_Lookup_MC,15,FALSE)))</f>
        <v/>
      </c>
      <c r="B32" s="69"/>
      <c r="C32" s="61"/>
      <c r="D32" s="70" t="str">
        <f t="shared" si="3"/>
        <v/>
      </c>
      <c r="E32" s="69"/>
      <c r="F32" s="61"/>
      <c r="G32" s="70" t="str">
        <f t="shared" si="4"/>
        <v/>
      </c>
      <c r="H32" s="69"/>
      <c r="I32" s="61"/>
      <c r="J32" s="70" t="str">
        <f t="shared" si="5"/>
        <v/>
      </c>
      <c r="K32" s="74" t="str">
        <f t="shared" si="6"/>
        <v/>
      </c>
      <c r="L32" s="62" t="str">
        <f t="shared" si="7"/>
        <v/>
      </c>
      <c r="M32" s="70" t="str">
        <f t="shared" si="8"/>
        <v/>
      </c>
      <c r="N32" s="69"/>
      <c r="O32" s="61"/>
      <c r="P32" s="70" t="str">
        <f t="shared" si="9"/>
        <v/>
      </c>
      <c r="Q32" s="69"/>
      <c r="R32" s="61"/>
      <c r="S32" s="70" t="str">
        <f t="shared" si="10"/>
        <v/>
      </c>
      <c r="T32" s="69"/>
      <c r="U32" s="61"/>
      <c r="V32" s="70" t="str">
        <f t="shared" si="11"/>
        <v/>
      </c>
      <c r="W32" s="74" t="str">
        <f t="shared" si="12"/>
        <v/>
      </c>
      <c r="X32" s="62" t="str">
        <f t="shared" si="13"/>
        <v/>
      </c>
      <c r="Y32" s="70" t="str">
        <f t="shared" si="14"/>
        <v/>
      </c>
      <c r="Z32" s="69"/>
      <c r="AA32" s="61"/>
      <c r="AB32" s="70" t="str">
        <f t="shared" si="15"/>
        <v/>
      </c>
      <c r="AC32" s="69"/>
      <c r="AD32" s="61"/>
      <c r="AE32" s="70" t="str">
        <f t="shared" si="16"/>
        <v/>
      </c>
      <c r="AF32" s="69"/>
      <c r="AG32" s="61"/>
      <c r="AH32" s="70" t="str">
        <f t="shared" si="17"/>
        <v/>
      </c>
      <c r="AI32" s="74" t="str">
        <f t="shared" si="18"/>
        <v/>
      </c>
      <c r="AJ32" s="62" t="str">
        <f t="shared" si="19"/>
        <v/>
      </c>
      <c r="AK32" s="70" t="str">
        <f t="shared" si="20"/>
        <v/>
      </c>
      <c r="AL32" s="69"/>
      <c r="AM32" s="61"/>
      <c r="AN32" s="70" t="str">
        <f t="shared" si="21"/>
        <v/>
      </c>
    </row>
    <row r="33" spans="1:40" ht="18" customHeight="1">
      <c r="A33" s="77" t="str">
        <f>IF($C$9="Data Not Entered On Set-Up Worksheet","",IF(OR(VLOOKUP($C$9,County_Lookup_MC,16,FALSE)="",VLOOKUP($C$9,County_Lookup_MC,16,FALSE)=0),"",VLOOKUP($C$9,County_Lookup_MC,16,FALSE)))</f>
        <v/>
      </c>
      <c r="B33" s="69"/>
      <c r="C33" s="61"/>
      <c r="D33" s="70" t="str">
        <f t="shared" si="3"/>
        <v/>
      </c>
      <c r="E33" s="69"/>
      <c r="F33" s="61"/>
      <c r="G33" s="70" t="str">
        <f t="shared" si="4"/>
        <v/>
      </c>
      <c r="H33" s="69"/>
      <c r="I33" s="61"/>
      <c r="J33" s="70" t="str">
        <f t="shared" si="5"/>
        <v/>
      </c>
      <c r="K33" s="74" t="str">
        <f t="shared" si="6"/>
        <v/>
      </c>
      <c r="L33" s="62" t="str">
        <f t="shared" si="7"/>
        <v/>
      </c>
      <c r="M33" s="70" t="str">
        <f t="shared" si="8"/>
        <v/>
      </c>
      <c r="N33" s="69"/>
      <c r="O33" s="61"/>
      <c r="P33" s="70" t="str">
        <f t="shared" si="9"/>
        <v/>
      </c>
      <c r="Q33" s="69"/>
      <c r="R33" s="61"/>
      <c r="S33" s="70" t="str">
        <f t="shared" si="10"/>
        <v/>
      </c>
      <c r="T33" s="69"/>
      <c r="U33" s="61"/>
      <c r="V33" s="70" t="str">
        <f t="shared" si="11"/>
        <v/>
      </c>
      <c r="W33" s="74" t="str">
        <f t="shared" si="12"/>
        <v/>
      </c>
      <c r="X33" s="62" t="str">
        <f t="shared" si="13"/>
        <v/>
      </c>
      <c r="Y33" s="70" t="str">
        <f t="shared" si="14"/>
        <v/>
      </c>
      <c r="Z33" s="69"/>
      <c r="AA33" s="61"/>
      <c r="AB33" s="70" t="str">
        <f t="shared" si="15"/>
        <v/>
      </c>
      <c r="AC33" s="69"/>
      <c r="AD33" s="61"/>
      <c r="AE33" s="70" t="str">
        <f t="shared" si="16"/>
        <v/>
      </c>
      <c r="AF33" s="69"/>
      <c r="AG33" s="61"/>
      <c r="AH33" s="70" t="str">
        <f t="shared" si="17"/>
        <v/>
      </c>
      <c r="AI33" s="74" t="str">
        <f t="shared" si="18"/>
        <v/>
      </c>
      <c r="AJ33" s="62" t="str">
        <f t="shared" si="19"/>
        <v/>
      </c>
      <c r="AK33" s="70" t="str">
        <f t="shared" si="20"/>
        <v/>
      </c>
      <c r="AL33" s="69"/>
      <c r="AM33" s="61"/>
      <c r="AN33" s="70" t="str">
        <f t="shared" si="21"/>
        <v/>
      </c>
    </row>
    <row r="34" spans="1:40" ht="18" customHeight="1">
      <c r="A34" s="77" t="str">
        <f>IF($C$9="Data Not Entered On Set-Up Worksheet","",IF(OR(VLOOKUP($C$9,County_Lookup_MC,17,FALSE)="",VLOOKUP($C$9,County_Lookup_MC,17,FALSE)=0),"",VLOOKUP($C$9,County_Lookup_MC,17,FALSE)))</f>
        <v/>
      </c>
      <c r="B34" s="69"/>
      <c r="C34" s="61"/>
      <c r="D34" s="70" t="str">
        <f t="shared" si="3"/>
        <v/>
      </c>
      <c r="E34" s="69"/>
      <c r="F34" s="61"/>
      <c r="G34" s="70" t="str">
        <f t="shared" si="4"/>
        <v/>
      </c>
      <c r="H34" s="69"/>
      <c r="I34" s="61"/>
      <c r="J34" s="70" t="str">
        <f t="shared" si="5"/>
        <v/>
      </c>
      <c r="K34" s="74" t="str">
        <f t="shared" si="6"/>
        <v/>
      </c>
      <c r="L34" s="62" t="str">
        <f t="shared" si="7"/>
        <v/>
      </c>
      <c r="M34" s="70" t="str">
        <f t="shared" si="8"/>
        <v/>
      </c>
      <c r="N34" s="69"/>
      <c r="O34" s="61"/>
      <c r="P34" s="70" t="str">
        <f t="shared" si="9"/>
        <v/>
      </c>
      <c r="Q34" s="69"/>
      <c r="R34" s="61"/>
      <c r="S34" s="70" t="str">
        <f t="shared" si="10"/>
        <v/>
      </c>
      <c r="T34" s="69"/>
      <c r="U34" s="61"/>
      <c r="V34" s="70" t="str">
        <f t="shared" si="11"/>
        <v/>
      </c>
      <c r="W34" s="74" t="str">
        <f t="shared" si="12"/>
        <v/>
      </c>
      <c r="X34" s="62" t="str">
        <f t="shared" si="13"/>
        <v/>
      </c>
      <c r="Y34" s="70" t="str">
        <f t="shared" si="14"/>
        <v/>
      </c>
      <c r="Z34" s="69"/>
      <c r="AA34" s="61"/>
      <c r="AB34" s="70" t="str">
        <f t="shared" si="15"/>
        <v/>
      </c>
      <c r="AC34" s="69"/>
      <c r="AD34" s="61"/>
      <c r="AE34" s="70" t="str">
        <f t="shared" si="16"/>
        <v/>
      </c>
      <c r="AF34" s="69"/>
      <c r="AG34" s="61"/>
      <c r="AH34" s="70" t="str">
        <f t="shared" si="17"/>
        <v/>
      </c>
      <c r="AI34" s="74" t="str">
        <f t="shared" si="18"/>
        <v/>
      </c>
      <c r="AJ34" s="62" t="str">
        <f t="shared" si="19"/>
        <v/>
      </c>
      <c r="AK34" s="70" t="str">
        <f t="shared" si="20"/>
        <v/>
      </c>
      <c r="AL34" s="69"/>
      <c r="AM34" s="61"/>
      <c r="AN34" s="70" t="str">
        <f t="shared" si="21"/>
        <v/>
      </c>
    </row>
    <row r="35" spans="1:40" ht="18" customHeight="1">
      <c r="A35" s="77" t="str">
        <f>IF($C$9="Data Not Entered On Set-Up Worksheet","",IF(OR(VLOOKUP($C$9,County_Lookup_MC,18,FALSE)="",VLOOKUP($C$9,County_Lookup_MC,18,FALSE)=0),"",VLOOKUP($C$9,County_Lookup_MC,18,FALSE)))</f>
        <v/>
      </c>
      <c r="B35" s="69"/>
      <c r="C35" s="61"/>
      <c r="D35" s="70" t="str">
        <f t="shared" si="3"/>
        <v/>
      </c>
      <c r="E35" s="69"/>
      <c r="F35" s="61"/>
      <c r="G35" s="70" t="str">
        <f t="shared" si="4"/>
        <v/>
      </c>
      <c r="H35" s="69"/>
      <c r="I35" s="61"/>
      <c r="J35" s="70" t="str">
        <f t="shared" si="5"/>
        <v/>
      </c>
      <c r="K35" s="74" t="str">
        <f t="shared" si="6"/>
        <v/>
      </c>
      <c r="L35" s="62" t="str">
        <f t="shared" si="7"/>
        <v/>
      </c>
      <c r="M35" s="70" t="str">
        <f t="shared" si="8"/>
        <v/>
      </c>
      <c r="N35" s="69"/>
      <c r="O35" s="61"/>
      <c r="P35" s="70" t="str">
        <f t="shared" si="9"/>
        <v/>
      </c>
      <c r="Q35" s="69"/>
      <c r="R35" s="61"/>
      <c r="S35" s="70" t="str">
        <f t="shared" si="10"/>
        <v/>
      </c>
      <c r="T35" s="69"/>
      <c r="U35" s="61"/>
      <c r="V35" s="70" t="str">
        <f t="shared" si="11"/>
        <v/>
      </c>
      <c r="W35" s="74" t="str">
        <f t="shared" si="12"/>
        <v/>
      </c>
      <c r="X35" s="62" t="str">
        <f t="shared" si="13"/>
        <v/>
      </c>
      <c r="Y35" s="70" t="str">
        <f t="shared" si="14"/>
        <v/>
      </c>
      <c r="Z35" s="69"/>
      <c r="AA35" s="61"/>
      <c r="AB35" s="70" t="str">
        <f t="shared" si="15"/>
        <v/>
      </c>
      <c r="AC35" s="69"/>
      <c r="AD35" s="61"/>
      <c r="AE35" s="70" t="str">
        <f t="shared" si="16"/>
        <v/>
      </c>
      <c r="AF35" s="69"/>
      <c r="AG35" s="61"/>
      <c r="AH35" s="70" t="str">
        <f t="shared" si="17"/>
        <v/>
      </c>
      <c r="AI35" s="74" t="str">
        <f t="shared" si="18"/>
        <v/>
      </c>
      <c r="AJ35" s="62" t="str">
        <f t="shared" si="19"/>
        <v/>
      </c>
      <c r="AK35" s="70" t="str">
        <f t="shared" si="20"/>
        <v/>
      </c>
      <c r="AL35" s="69"/>
      <c r="AM35" s="61"/>
      <c r="AN35" s="70" t="str">
        <f t="shared" si="21"/>
        <v/>
      </c>
    </row>
    <row r="36" spans="1:40" ht="18" customHeight="1">
      <c r="A36" s="77" t="str">
        <f>IF($C$9="Data Not Entered On Set-Up Worksheet","",IF(OR(VLOOKUP($C$9,County_Lookup_MC,19,FALSE)="",VLOOKUP($C$9,County_Lookup_MC,19,FALSE)=0),"",VLOOKUP($C$9,County_Lookup_MC,19,FALSE)))</f>
        <v/>
      </c>
      <c r="B36" s="69"/>
      <c r="C36" s="61"/>
      <c r="D36" s="70" t="str">
        <f t="shared" si="3"/>
        <v/>
      </c>
      <c r="E36" s="69"/>
      <c r="F36" s="61"/>
      <c r="G36" s="70" t="str">
        <f t="shared" si="4"/>
        <v/>
      </c>
      <c r="H36" s="69"/>
      <c r="I36" s="61"/>
      <c r="J36" s="70" t="str">
        <f t="shared" si="5"/>
        <v/>
      </c>
      <c r="K36" s="74" t="str">
        <f t="shared" si="6"/>
        <v/>
      </c>
      <c r="L36" s="62" t="str">
        <f t="shared" si="7"/>
        <v/>
      </c>
      <c r="M36" s="70" t="str">
        <f t="shared" si="8"/>
        <v/>
      </c>
      <c r="N36" s="69"/>
      <c r="O36" s="61"/>
      <c r="P36" s="70" t="str">
        <f t="shared" si="9"/>
        <v/>
      </c>
      <c r="Q36" s="69"/>
      <c r="R36" s="61"/>
      <c r="S36" s="70" t="str">
        <f t="shared" si="10"/>
        <v/>
      </c>
      <c r="T36" s="69"/>
      <c r="U36" s="61"/>
      <c r="V36" s="70" t="str">
        <f t="shared" si="11"/>
        <v/>
      </c>
      <c r="W36" s="74" t="str">
        <f t="shared" si="12"/>
        <v/>
      </c>
      <c r="X36" s="62" t="str">
        <f t="shared" si="13"/>
        <v/>
      </c>
      <c r="Y36" s="70" t="str">
        <f t="shared" si="14"/>
        <v/>
      </c>
      <c r="Z36" s="69"/>
      <c r="AA36" s="61"/>
      <c r="AB36" s="70" t="str">
        <f t="shared" si="15"/>
        <v/>
      </c>
      <c r="AC36" s="69"/>
      <c r="AD36" s="61"/>
      <c r="AE36" s="70" t="str">
        <f t="shared" si="16"/>
        <v/>
      </c>
      <c r="AF36" s="69"/>
      <c r="AG36" s="61"/>
      <c r="AH36" s="70" t="str">
        <f t="shared" si="17"/>
        <v/>
      </c>
      <c r="AI36" s="74" t="str">
        <f t="shared" si="18"/>
        <v/>
      </c>
      <c r="AJ36" s="62" t="str">
        <f t="shared" si="19"/>
        <v/>
      </c>
      <c r="AK36" s="70" t="str">
        <f t="shared" si="20"/>
        <v/>
      </c>
      <c r="AL36" s="69"/>
      <c r="AM36" s="61"/>
      <c r="AN36" s="70" t="str">
        <f t="shared" si="21"/>
        <v/>
      </c>
    </row>
    <row r="37" spans="1:40" ht="18" customHeight="1">
      <c r="A37" s="77" t="str">
        <f>IF($C$9="Data Not Entered On Set-Up Worksheet","",IF(OR(VLOOKUP($C$9,County_Lookup_MC,20,FALSE)="",VLOOKUP($C$9,County_Lookup_MC,20,FALSE)=0),"",VLOOKUP($C$9,County_Lookup_MC,20,FALSE)))</f>
        <v/>
      </c>
      <c r="B37" s="69"/>
      <c r="C37" s="61"/>
      <c r="D37" s="70" t="str">
        <f t="shared" si="3"/>
        <v/>
      </c>
      <c r="E37" s="69"/>
      <c r="F37" s="61"/>
      <c r="G37" s="70" t="str">
        <f t="shared" si="4"/>
        <v/>
      </c>
      <c r="H37" s="69"/>
      <c r="I37" s="61"/>
      <c r="J37" s="70" t="str">
        <f t="shared" si="5"/>
        <v/>
      </c>
      <c r="K37" s="74" t="str">
        <f t="shared" si="6"/>
        <v/>
      </c>
      <c r="L37" s="62" t="str">
        <f t="shared" si="7"/>
        <v/>
      </c>
      <c r="M37" s="70" t="str">
        <f t="shared" si="8"/>
        <v/>
      </c>
      <c r="N37" s="69"/>
      <c r="O37" s="61"/>
      <c r="P37" s="70" t="str">
        <f t="shared" si="9"/>
        <v/>
      </c>
      <c r="Q37" s="69"/>
      <c r="R37" s="61"/>
      <c r="S37" s="70" t="str">
        <f t="shared" si="10"/>
        <v/>
      </c>
      <c r="T37" s="69"/>
      <c r="U37" s="61"/>
      <c r="V37" s="70" t="str">
        <f t="shared" si="11"/>
        <v/>
      </c>
      <c r="W37" s="74" t="str">
        <f t="shared" si="12"/>
        <v/>
      </c>
      <c r="X37" s="62" t="str">
        <f t="shared" si="13"/>
        <v/>
      </c>
      <c r="Y37" s="70" t="str">
        <f t="shared" si="14"/>
        <v/>
      </c>
      <c r="Z37" s="69"/>
      <c r="AA37" s="61"/>
      <c r="AB37" s="70" t="str">
        <f t="shared" si="15"/>
        <v/>
      </c>
      <c r="AC37" s="69"/>
      <c r="AD37" s="61"/>
      <c r="AE37" s="70" t="str">
        <f t="shared" si="16"/>
        <v/>
      </c>
      <c r="AF37" s="69"/>
      <c r="AG37" s="61"/>
      <c r="AH37" s="70" t="str">
        <f t="shared" si="17"/>
        <v/>
      </c>
      <c r="AI37" s="74" t="str">
        <f t="shared" si="18"/>
        <v/>
      </c>
      <c r="AJ37" s="62" t="str">
        <f t="shared" si="19"/>
        <v/>
      </c>
      <c r="AK37" s="70" t="str">
        <f t="shared" si="20"/>
        <v/>
      </c>
      <c r="AL37" s="69"/>
      <c r="AM37" s="61"/>
      <c r="AN37" s="70" t="str">
        <f t="shared" si="21"/>
        <v/>
      </c>
    </row>
    <row r="38" spans="1:40" ht="18" customHeight="1">
      <c r="A38" s="77" t="str">
        <f>IF($C$9="Data Not Entered On Set-Up Worksheet","",IF(OR(VLOOKUP($C$9,County_Lookup_MC,21,FALSE)="",VLOOKUP($C$9,County_Lookup_MC,21,FALSE)=0),"",VLOOKUP($C$9,County_Lookup_MC,21,FALSE)))</f>
        <v/>
      </c>
      <c r="B38" s="69"/>
      <c r="C38" s="61"/>
      <c r="D38" s="70" t="str">
        <f t="shared" si="3"/>
        <v/>
      </c>
      <c r="E38" s="69"/>
      <c r="F38" s="61"/>
      <c r="G38" s="70" t="str">
        <f t="shared" si="4"/>
        <v/>
      </c>
      <c r="H38" s="69"/>
      <c r="I38" s="61"/>
      <c r="J38" s="70" t="str">
        <f t="shared" si="5"/>
        <v/>
      </c>
      <c r="K38" s="74" t="str">
        <f t="shared" si="6"/>
        <v/>
      </c>
      <c r="L38" s="62" t="str">
        <f t="shared" si="7"/>
        <v/>
      </c>
      <c r="M38" s="70" t="str">
        <f t="shared" si="8"/>
        <v/>
      </c>
      <c r="N38" s="69"/>
      <c r="O38" s="61"/>
      <c r="P38" s="70" t="str">
        <f t="shared" si="9"/>
        <v/>
      </c>
      <c r="Q38" s="69"/>
      <c r="R38" s="61"/>
      <c r="S38" s="70" t="str">
        <f t="shared" si="10"/>
        <v/>
      </c>
      <c r="T38" s="69"/>
      <c r="U38" s="61"/>
      <c r="V38" s="70" t="str">
        <f t="shared" si="11"/>
        <v/>
      </c>
      <c r="W38" s="74" t="str">
        <f t="shared" si="12"/>
        <v/>
      </c>
      <c r="X38" s="62" t="str">
        <f t="shared" si="13"/>
        <v/>
      </c>
      <c r="Y38" s="70" t="str">
        <f t="shared" si="14"/>
        <v/>
      </c>
      <c r="Z38" s="69"/>
      <c r="AA38" s="61"/>
      <c r="AB38" s="70" t="str">
        <f t="shared" si="15"/>
        <v/>
      </c>
      <c r="AC38" s="69"/>
      <c r="AD38" s="61"/>
      <c r="AE38" s="70" t="str">
        <f t="shared" si="16"/>
        <v/>
      </c>
      <c r="AF38" s="69"/>
      <c r="AG38" s="61"/>
      <c r="AH38" s="70" t="str">
        <f t="shared" si="17"/>
        <v/>
      </c>
      <c r="AI38" s="74" t="str">
        <f t="shared" si="18"/>
        <v/>
      </c>
      <c r="AJ38" s="62" t="str">
        <f t="shared" si="19"/>
        <v/>
      </c>
      <c r="AK38" s="70" t="str">
        <f t="shared" si="20"/>
        <v/>
      </c>
      <c r="AL38" s="69"/>
      <c r="AM38" s="61"/>
      <c r="AN38" s="70" t="str">
        <f t="shared" si="21"/>
        <v/>
      </c>
    </row>
    <row r="39" spans="1:40" ht="18" customHeight="1">
      <c r="A39" s="76" t="str">
        <f>IF($C$9="Data Not Entered On Set-Up Worksheet","",IF(OR(VLOOKUP($C$9,County_Lookup_MC,22,FALSE)="",VLOOKUP($C$9,County_Lookup_MC,22,FALSE)=0),"",VLOOKUP($C$9,County_Lookup_MC,22,FALSE)))</f>
        <v/>
      </c>
      <c r="B39" s="69"/>
      <c r="C39" s="61"/>
      <c r="D39" s="70" t="str">
        <f t="shared" si="3"/>
        <v/>
      </c>
      <c r="E39" s="69"/>
      <c r="F39" s="61"/>
      <c r="G39" s="70" t="str">
        <f t="shared" si="4"/>
        <v/>
      </c>
      <c r="H39" s="69"/>
      <c r="I39" s="61"/>
      <c r="J39" s="70" t="str">
        <f t="shared" si="5"/>
        <v/>
      </c>
      <c r="K39" s="74" t="str">
        <f t="shared" si="6"/>
        <v/>
      </c>
      <c r="L39" s="62" t="str">
        <f t="shared" si="7"/>
        <v/>
      </c>
      <c r="M39" s="70" t="str">
        <f t="shared" si="8"/>
        <v/>
      </c>
      <c r="N39" s="69"/>
      <c r="O39" s="61"/>
      <c r="P39" s="70" t="str">
        <f t="shared" si="9"/>
        <v/>
      </c>
      <c r="Q39" s="69"/>
      <c r="R39" s="61"/>
      <c r="S39" s="70" t="str">
        <f t="shared" si="10"/>
        <v/>
      </c>
      <c r="T39" s="69"/>
      <c r="U39" s="61"/>
      <c r="V39" s="70" t="str">
        <f t="shared" si="11"/>
        <v/>
      </c>
      <c r="W39" s="74" t="str">
        <f t="shared" si="12"/>
        <v/>
      </c>
      <c r="X39" s="62" t="str">
        <f t="shared" si="13"/>
        <v/>
      </c>
      <c r="Y39" s="70" t="str">
        <f t="shared" si="14"/>
        <v/>
      </c>
      <c r="Z39" s="69"/>
      <c r="AA39" s="61"/>
      <c r="AB39" s="70" t="str">
        <f t="shared" si="15"/>
        <v/>
      </c>
      <c r="AC39" s="69"/>
      <c r="AD39" s="61"/>
      <c r="AE39" s="70" t="str">
        <f t="shared" si="16"/>
        <v/>
      </c>
      <c r="AF39" s="69"/>
      <c r="AG39" s="61"/>
      <c r="AH39" s="70" t="str">
        <f t="shared" si="17"/>
        <v/>
      </c>
      <c r="AI39" s="74" t="str">
        <f t="shared" si="18"/>
        <v/>
      </c>
      <c r="AJ39" s="62" t="str">
        <f t="shared" si="19"/>
        <v/>
      </c>
      <c r="AK39" s="70" t="str">
        <f t="shared" si="20"/>
        <v/>
      </c>
      <c r="AL39" s="69"/>
      <c r="AM39" s="61"/>
      <c r="AN39" s="70" t="str">
        <f t="shared" si="21"/>
        <v/>
      </c>
    </row>
    <row r="40" spans="1:40" ht="18" customHeight="1">
      <c r="A40" s="77" t="str">
        <f>IF($C$9="Data Not Entered On Set-Up Worksheet","",IF(OR(VLOOKUP($C$9,County_Lookup_MC,23,FALSE)="",VLOOKUP($C$9,County_Lookup_MC,23,FALSE)=0),"",VLOOKUP($C$9,County_Lookup_MC,23,FALSE)))</f>
        <v/>
      </c>
      <c r="B40" s="69"/>
      <c r="C40" s="61"/>
      <c r="D40" s="70" t="str">
        <f t="shared" si="3"/>
        <v/>
      </c>
      <c r="E40" s="69"/>
      <c r="F40" s="61"/>
      <c r="G40" s="70" t="str">
        <f t="shared" si="4"/>
        <v/>
      </c>
      <c r="H40" s="69"/>
      <c r="I40" s="61"/>
      <c r="J40" s="70" t="str">
        <f t="shared" si="5"/>
        <v/>
      </c>
      <c r="K40" s="74" t="str">
        <f t="shared" si="6"/>
        <v/>
      </c>
      <c r="L40" s="62" t="str">
        <f t="shared" si="7"/>
        <v/>
      </c>
      <c r="M40" s="70" t="str">
        <f t="shared" si="8"/>
        <v/>
      </c>
      <c r="N40" s="69"/>
      <c r="O40" s="61"/>
      <c r="P40" s="70" t="str">
        <f t="shared" si="9"/>
        <v/>
      </c>
      <c r="Q40" s="69"/>
      <c r="R40" s="61"/>
      <c r="S40" s="70" t="str">
        <f t="shared" si="10"/>
        <v/>
      </c>
      <c r="T40" s="69"/>
      <c r="U40" s="61"/>
      <c r="V40" s="70" t="str">
        <f t="shared" si="11"/>
        <v/>
      </c>
      <c r="W40" s="74" t="str">
        <f t="shared" si="12"/>
        <v/>
      </c>
      <c r="X40" s="62" t="str">
        <f t="shared" si="13"/>
        <v/>
      </c>
      <c r="Y40" s="70" t="str">
        <f t="shared" si="14"/>
        <v/>
      </c>
      <c r="Z40" s="69"/>
      <c r="AA40" s="61"/>
      <c r="AB40" s="70" t="str">
        <f t="shared" si="15"/>
        <v/>
      </c>
      <c r="AC40" s="69"/>
      <c r="AD40" s="61"/>
      <c r="AE40" s="70" t="str">
        <f t="shared" si="16"/>
        <v/>
      </c>
      <c r="AF40" s="69"/>
      <c r="AG40" s="61"/>
      <c r="AH40" s="70" t="str">
        <f t="shared" si="17"/>
        <v/>
      </c>
      <c r="AI40" s="74" t="str">
        <f t="shared" si="18"/>
        <v/>
      </c>
      <c r="AJ40" s="62" t="str">
        <f t="shared" si="19"/>
        <v/>
      </c>
      <c r="AK40" s="70" t="str">
        <f t="shared" si="20"/>
        <v/>
      </c>
      <c r="AL40" s="69"/>
      <c r="AM40" s="61"/>
      <c r="AN40" s="70" t="str">
        <f t="shared" si="21"/>
        <v/>
      </c>
    </row>
    <row r="41" spans="1:40" ht="18" customHeight="1">
      <c r="A41" s="77" t="str">
        <f>IF($C$9="Data Not Entered On Set-Up Worksheet","",IF(OR(VLOOKUP($C$9,County_Lookup_MC,24,FALSE)="",VLOOKUP($C$9,County_Lookup_MC,24,FALSE)=0),"",VLOOKUP($C$9,County_Lookup_MC,24,FALSE)))</f>
        <v/>
      </c>
      <c r="B41" s="69"/>
      <c r="C41" s="61"/>
      <c r="D41" s="70" t="str">
        <f t="shared" ref="D41" si="22">IF($A41="","",IF(C41=0,0,B41/C41))</f>
        <v/>
      </c>
      <c r="E41" s="69"/>
      <c r="F41" s="61"/>
      <c r="G41" s="70" t="str">
        <f t="shared" ref="G41" si="23">IF($A41="","",IF(F41=0,0,E41/F41))</f>
        <v/>
      </c>
      <c r="H41" s="69"/>
      <c r="I41" s="61"/>
      <c r="J41" s="70" t="str">
        <f t="shared" ref="J41" si="24">IF($A41="","",IF(I41=0,0,H41/I41))</f>
        <v/>
      </c>
      <c r="K41" s="74" t="str">
        <f t="shared" ref="K41" si="25">IF($A41="","",SUM(E41,H41))</f>
        <v/>
      </c>
      <c r="L41" s="62" t="str">
        <f t="shared" ref="L41" si="26">IF($A41="","",SUM(F41,I41))</f>
        <v/>
      </c>
      <c r="M41" s="70" t="str">
        <f t="shared" ref="M41" si="27">IF($A41="","",IF(L41=0,0,K41/L41))</f>
        <v/>
      </c>
      <c r="N41" s="69"/>
      <c r="O41" s="61"/>
      <c r="P41" s="70" t="str">
        <f t="shared" ref="P41" si="28">IF($A41="","",IF(O41=0,0,N41/O41))</f>
        <v/>
      </c>
      <c r="Q41" s="69"/>
      <c r="R41" s="61"/>
      <c r="S41" s="70" t="str">
        <f t="shared" ref="S41" si="29">IF($A41="","",IF(R41=0,0,Q41/R41))</f>
        <v/>
      </c>
      <c r="T41" s="69"/>
      <c r="U41" s="61"/>
      <c r="V41" s="70" t="str">
        <f t="shared" ref="V41" si="30">IF($A41="","",IF(U41=0,0,T41/U41))</f>
        <v/>
      </c>
      <c r="W41" s="74" t="str">
        <f t="shared" ref="W41" si="31">IF($A41="","",SUM(Q41,T41))</f>
        <v/>
      </c>
      <c r="X41" s="62" t="str">
        <f t="shared" ref="X41" si="32">IF($A41="","",SUM(R41,U41))</f>
        <v/>
      </c>
      <c r="Y41" s="70" t="str">
        <f t="shared" ref="Y41" si="33">IF($A41="","",IF(X41=0,0,W41/X41))</f>
        <v/>
      </c>
      <c r="Z41" s="69"/>
      <c r="AA41" s="61"/>
      <c r="AB41" s="70" t="str">
        <f t="shared" ref="AB41" si="34">IF($A41="","",IF(AA41=0,0,Z41/AA41))</f>
        <v/>
      </c>
      <c r="AC41" s="69"/>
      <c r="AD41" s="61"/>
      <c r="AE41" s="70" t="str">
        <f t="shared" ref="AE41" si="35">IF($A41="","",IF(AD41=0,0,AC41/AD41))</f>
        <v/>
      </c>
      <c r="AF41" s="69"/>
      <c r="AG41" s="61"/>
      <c r="AH41" s="70" t="str">
        <f t="shared" ref="AH41" si="36">IF($A41="","",IF(AG41=0,0,AF41/AG41))</f>
        <v/>
      </c>
      <c r="AI41" s="74" t="str">
        <f t="shared" ref="AI41" si="37">IF($A41="","",SUM(AC41,AF41))</f>
        <v/>
      </c>
      <c r="AJ41" s="62" t="str">
        <f t="shared" ref="AJ41" si="38">IF($A41="","",SUM(AD41,AG41))</f>
        <v/>
      </c>
      <c r="AK41" s="70" t="str">
        <f t="shared" ref="AK41" si="39">IF($A41="","",IF(AJ41=0,0,AI41/AJ41))</f>
        <v/>
      </c>
      <c r="AL41" s="69"/>
      <c r="AM41" s="61"/>
      <c r="AN41" s="70" t="str">
        <f t="shared" ref="AN41" si="40">IF($A41="","",IF(AM41=0,0,AL41/AM41))</f>
        <v/>
      </c>
    </row>
    <row r="42" spans="1:40" ht="18" customHeight="1">
      <c r="A42" s="77" t="str">
        <f>IF($C$9="Data Not Entered On Set-Up Worksheet","",IF(OR(VLOOKUP($C$9,County_Lookup_MC,25,FALSE)="",VLOOKUP($C$9,County_Lookup_MC,25,FALSE)=0),"",VLOOKUP($C$9,County_Lookup_MC,25,FALSE)))</f>
        <v/>
      </c>
      <c r="B42" s="69"/>
      <c r="C42" s="61"/>
      <c r="D42" s="70" t="str">
        <f t="shared" si="3"/>
        <v/>
      </c>
      <c r="E42" s="69"/>
      <c r="F42" s="61"/>
      <c r="G42" s="70" t="str">
        <f t="shared" si="4"/>
        <v/>
      </c>
      <c r="H42" s="69"/>
      <c r="I42" s="61"/>
      <c r="J42" s="70" t="str">
        <f t="shared" si="5"/>
        <v/>
      </c>
      <c r="K42" s="74" t="str">
        <f t="shared" si="6"/>
        <v/>
      </c>
      <c r="L42" s="62" t="str">
        <f t="shared" si="7"/>
        <v/>
      </c>
      <c r="M42" s="70" t="str">
        <f t="shared" si="8"/>
        <v/>
      </c>
      <c r="N42" s="69"/>
      <c r="O42" s="61"/>
      <c r="P42" s="70" t="str">
        <f t="shared" si="9"/>
        <v/>
      </c>
      <c r="Q42" s="69"/>
      <c r="R42" s="61"/>
      <c r="S42" s="70" t="str">
        <f t="shared" si="10"/>
        <v/>
      </c>
      <c r="T42" s="69"/>
      <c r="U42" s="61"/>
      <c r="V42" s="70" t="str">
        <f t="shared" si="11"/>
        <v/>
      </c>
      <c r="W42" s="74" t="str">
        <f t="shared" si="12"/>
        <v/>
      </c>
      <c r="X42" s="62" t="str">
        <f t="shared" si="13"/>
        <v/>
      </c>
      <c r="Y42" s="70" t="str">
        <f t="shared" si="14"/>
        <v/>
      </c>
      <c r="Z42" s="69"/>
      <c r="AA42" s="61"/>
      <c r="AB42" s="70" t="str">
        <f t="shared" si="15"/>
        <v/>
      </c>
      <c r="AC42" s="69"/>
      <c r="AD42" s="61"/>
      <c r="AE42" s="70" t="str">
        <f t="shared" si="16"/>
        <v/>
      </c>
      <c r="AF42" s="69"/>
      <c r="AG42" s="61"/>
      <c r="AH42" s="70" t="str">
        <f t="shared" si="17"/>
        <v/>
      </c>
      <c r="AI42" s="74" t="str">
        <f t="shared" si="18"/>
        <v/>
      </c>
      <c r="AJ42" s="62" t="str">
        <f t="shared" si="19"/>
        <v/>
      </c>
      <c r="AK42" s="70" t="str">
        <f t="shared" si="20"/>
        <v/>
      </c>
      <c r="AL42" s="69"/>
      <c r="AM42" s="61"/>
      <c r="AN42" s="70" t="str">
        <f t="shared" si="21"/>
        <v/>
      </c>
    </row>
    <row r="43" spans="1:40" ht="18" customHeight="1" thickBot="1">
      <c r="A43" s="78" t="s">
        <v>0</v>
      </c>
      <c r="B43" s="71">
        <f>SUM(B19:B42)</f>
        <v>0</v>
      </c>
      <c r="C43" s="72">
        <f>SUM(C19:C42)</f>
        <v>0</v>
      </c>
      <c r="D43" s="73">
        <f t="shared" ref="D43" si="41">IF(C43=0,0,B43/C43)</f>
        <v>0</v>
      </c>
      <c r="E43" s="71">
        <f>SUM(E19:E42)</f>
        <v>0</v>
      </c>
      <c r="F43" s="72">
        <f>SUM(F19:F42)</f>
        <v>0</v>
      </c>
      <c r="G43" s="73">
        <f t="shared" ref="G43" si="42">IF(F43=0,0,E43/F43)</f>
        <v>0</v>
      </c>
      <c r="H43" s="71">
        <f>SUM(H19:H42)</f>
        <v>0</v>
      </c>
      <c r="I43" s="72">
        <f>SUM(I19:I42)</f>
        <v>0</v>
      </c>
      <c r="J43" s="73">
        <f t="shared" ref="J43" si="43">IF(I43=0,0,H43/I43)</f>
        <v>0</v>
      </c>
      <c r="K43" s="71">
        <f>SUM(K19:K42)</f>
        <v>0</v>
      </c>
      <c r="L43" s="72">
        <f>SUM(L19:L42)</f>
        <v>0</v>
      </c>
      <c r="M43" s="73">
        <f t="shared" ref="M43" si="44">IF(L43=0,0,K43/L43)</f>
        <v>0</v>
      </c>
      <c r="N43" s="71">
        <f>SUM(N19:N42)</f>
        <v>0</v>
      </c>
      <c r="O43" s="72">
        <f>SUM(O19:O42)</f>
        <v>0</v>
      </c>
      <c r="P43" s="73">
        <f t="shared" ref="P43" si="45">IF(O43=0,0,N43/O43)</f>
        <v>0</v>
      </c>
      <c r="Q43" s="71">
        <f>SUM(Q19:Q42)</f>
        <v>0</v>
      </c>
      <c r="R43" s="72">
        <f>SUM(R19:R42)</f>
        <v>0</v>
      </c>
      <c r="S43" s="73">
        <f t="shared" ref="S43" si="46">IF(R43=0,0,Q43/R43)</f>
        <v>0</v>
      </c>
      <c r="T43" s="71">
        <f>SUM(T19:T42)</f>
        <v>0</v>
      </c>
      <c r="U43" s="72">
        <f>SUM(U19:U42)</f>
        <v>0</v>
      </c>
      <c r="V43" s="73">
        <f t="shared" ref="V43" si="47">IF(U43=0,0,T43/U43)</f>
        <v>0</v>
      </c>
      <c r="W43" s="71">
        <f>SUM(W19:W42)</f>
        <v>0</v>
      </c>
      <c r="X43" s="72">
        <f>SUM(X19:X42)</f>
        <v>0</v>
      </c>
      <c r="Y43" s="73">
        <f t="shared" ref="Y43" si="48">IF(X43=0,0,W43/X43)</f>
        <v>0</v>
      </c>
      <c r="Z43" s="71">
        <f>SUM(Z19:Z42)</f>
        <v>0</v>
      </c>
      <c r="AA43" s="72">
        <f>SUM(AA19:AA42)</f>
        <v>0</v>
      </c>
      <c r="AB43" s="73">
        <f t="shared" ref="AB43" si="49">IF(AA43=0,0,Z43/AA43)</f>
        <v>0</v>
      </c>
      <c r="AC43" s="71">
        <f>SUM(AC19:AC42)</f>
        <v>0</v>
      </c>
      <c r="AD43" s="72">
        <f>SUM(AD19:AD42)</f>
        <v>0</v>
      </c>
      <c r="AE43" s="73">
        <f t="shared" ref="AE43" si="50">IF(AD43=0,0,AC43/AD43)</f>
        <v>0</v>
      </c>
      <c r="AF43" s="71">
        <f>SUM(AF19:AF42)</f>
        <v>0</v>
      </c>
      <c r="AG43" s="72">
        <f>SUM(AG19:AG42)</f>
        <v>0</v>
      </c>
      <c r="AH43" s="73">
        <f t="shared" ref="AH43" si="51">IF(AG43=0,0,AF43/AG43)</f>
        <v>0</v>
      </c>
      <c r="AI43" s="71">
        <f>SUM(AI19:AI42)</f>
        <v>0</v>
      </c>
      <c r="AJ43" s="72">
        <f>SUM(AJ19:AJ42)</f>
        <v>0</v>
      </c>
      <c r="AK43" s="73">
        <f t="shared" ref="AK43" si="52">IF(AJ43=0,0,AI43/AJ43)</f>
        <v>0</v>
      </c>
      <c r="AL43" s="71">
        <f>SUM(AL19:AL42)</f>
        <v>0</v>
      </c>
      <c r="AM43" s="72">
        <f>SUM(AM19:AM42)</f>
        <v>0</v>
      </c>
      <c r="AN43" s="73">
        <f t="shared" ref="AN43" si="53">IF(AM43=0,0,AL43/AM43)</f>
        <v>0</v>
      </c>
    </row>
    <row r="45" spans="1:40" ht="20.100000000000001" customHeight="1">
      <c r="A45" s="312" t="s">
        <v>310</v>
      </c>
      <c r="B45" s="243"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2015 - Jun 2016)</v>
      </c>
      <c r="C45" s="243"/>
      <c r="D45" s="243"/>
      <c r="E45" s="243"/>
      <c r="F45" s="243"/>
      <c r="G45" s="243"/>
      <c r="H45" s="243"/>
      <c r="I45" s="243"/>
      <c r="J45" s="243"/>
      <c r="K45" s="243"/>
      <c r="L45" s="243"/>
      <c r="M45" s="243"/>
      <c r="N45" s="243" t="str">
        <f>$B$45</f>
        <v>State Fiscal Year-To-Date (Jul 2015 - Jun 2016)</v>
      </c>
      <c r="O45" s="243"/>
      <c r="P45" s="243"/>
      <c r="Q45" s="243"/>
      <c r="R45" s="243"/>
      <c r="S45" s="243"/>
      <c r="T45" s="243"/>
      <c r="U45" s="243"/>
      <c r="V45" s="243"/>
      <c r="W45" s="243"/>
      <c r="X45" s="243"/>
      <c r="Y45" s="243"/>
      <c r="Z45" s="243" t="str">
        <f>$B$45</f>
        <v>State Fiscal Year-To-Date (Jul 2015 - Jun 2016)</v>
      </c>
      <c r="AA45" s="243"/>
      <c r="AB45" s="243"/>
      <c r="AC45" s="243"/>
      <c r="AD45" s="243"/>
      <c r="AE45" s="243"/>
      <c r="AF45" s="243"/>
      <c r="AG45" s="243"/>
      <c r="AH45" s="243"/>
      <c r="AI45" s="243"/>
      <c r="AJ45" s="243"/>
      <c r="AK45" s="243"/>
      <c r="AL45" s="243" t="str">
        <f>$B$45</f>
        <v>State Fiscal Year-To-Date (Jul 2015 - Jun 2016)</v>
      </c>
      <c r="AM45" s="44"/>
      <c r="AN45" s="44"/>
    </row>
    <row r="46" spans="1:40" ht="13.5" thickBot="1"/>
    <row r="47" spans="1:40" ht="18" customHeight="1" thickBot="1">
      <c r="A47" s="226" t="s">
        <v>254</v>
      </c>
      <c r="B47" s="234" t="s">
        <v>251</v>
      </c>
      <c r="C47" s="235"/>
      <c r="D47" s="236"/>
      <c r="E47" s="63" t="s">
        <v>252</v>
      </c>
      <c r="F47" s="231"/>
      <c r="G47" s="231"/>
      <c r="H47" s="231"/>
      <c r="I47" s="231"/>
      <c r="J47" s="231"/>
      <c r="K47" s="231"/>
      <c r="L47" s="231"/>
      <c r="M47" s="232"/>
      <c r="N47" s="234" t="s">
        <v>256</v>
      </c>
      <c r="O47" s="235"/>
      <c r="P47" s="236"/>
      <c r="Q47" s="63" t="s">
        <v>257</v>
      </c>
      <c r="R47" s="231"/>
      <c r="S47" s="231"/>
      <c r="T47" s="231"/>
      <c r="U47" s="231"/>
      <c r="V47" s="231"/>
      <c r="W47" s="231"/>
      <c r="X47" s="231"/>
      <c r="Y47" s="232"/>
      <c r="Z47" s="234" t="s">
        <v>258</v>
      </c>
      <c r="AA47" s="235"/>
      <c r="AB47" s="236"/>
      <c r="AC47" s="63" t="s">
        <v>259</v>
      </c>
      <c r="AD47" s="231"/>
      <c r="AE47" s="231"/>
      <c r="AF47" s="231"/>
      <c r="AG47" s="231"/>
      <c r="AH47" s="231"/>
      <c r="AI47" s="231"/>
      <c r="AJ47" s="231"/>
      <c r="AK47" s="232"/>
      <c r="AL47" s="234" t="s">
        <v>263</v>
      </c>
      <c r="AM47" s="235"/>
      <c r="AN47" s="236"/>
    </row>
    <row r="48" spans="1:40" s="35" customFormat="1" ht="18" customHeight="1" thickBot="1">
      <c r="A48" s="233" t="s">
        <v>255</v>
      </c>
      <c r="B48" s="234" t="s">
        <v>249</v>
      </c>
      <c r="C48" s="237"/>
      <c r="D48" s="238"/>
      <c r="E48" s="63" t="s">
        <v>146</v>
      </c>
      <c r="F48" s="64"/>
      <c r="G48" s="65"/>
      <c r="H48" s="63" t="s">
        <v>250</v>
      </c>
      <c r="I48" s="64"/>
      <c r="J48" s="65"/>
      <c r="K48" s="63" t="s">
        <v>253</v>
      </c>
      <c r="L48" s="64"/>
      <c r="M48" s="65"/>
      <c r="N48" s="234" t="s">
        <v>249</v>
      </c>
      <c r="O48" s="237"/>
      <c r="P48" s="238"/>
      <c r="Q48" s="63" t="s">
        <v>146</v>
      </c>
      <c r="R48" s="64"/>
      <c r="S48" s="65"/>
      <c r="T48" s="63" t="s">
        <v>250</v>
      </c>
      <c r="U48" s="64"/>
      <c r="V48" s="65"/>
      <c r="W48" s="63" t="s">
        <v>253</v>
      </c>
      <c r="X48" s="64"/>
      <c r="Y48" s="65"/>
      <c r="Z48" s="234" t="s">
        <v>249</v>
      </c>
      <c r="AA48" s="237"/>
      <c r="AB48" s="238"/>
      <c r="AC48" s="63" t="s">
        <v>146</v>
      </c>
      <c r="AD48" s="64"/>
      <c r="AE48" s="65"/>
      <c r="AF48" s="63" t="s">
        <v>250</v>
      </c>
      <c r="AG48" s="64"/>
      <c r="AH48" s="65"/>
      <c r="AI48" s="63" t="s">
        <v>253</v>
      </c>
      <c r="AJ48" s="64"/>
      <c r="AK48" s="65"/>
      <c r="AL48" s="234" t="s">
        <v>262</v>
      </c>
      <c r="AM48" s="237"/>
      <c r="AN48" s="238"/>
    </row>
    <row r="49" spans="1:46" s="35" customFormat="1" ht="13.5" thickBot="1">
      <c r="A49" s="30"/>
      <c r="B49" s="56" t="s">
        <v>3</v>
      </c>
      <c r="C49" s="57" t="s">
        <v>4</v>
      </c>
      <c r="D49" s="58" t="s">
        <v>5</v>
      </c>
      <c r="E49" s="56" t="s">
        <v>3</v>
      </c>
      <c r="F49" s="57" t="s">
        <v>4</v>
      </c>
      <c r="G49" s="58" t="s">
        <v>5</v>
      </c>
      <c r="H49" s="56" t="s">
        <v>3</v>
      </c>
      <c r="I49" s="57" t="s">
        <v>4</v>
      </c>
      <c r="J49" s="58" t="s">
        <v>5</v>
      </c>
      <c r="K49" s="56" t="s">
        <v>3</v>
      </c>
      <c r="L49" s="57" t="s">
        <v>4</v>
      </c>
      <c r="M49" s="58" t="s">
        <v>5</v>
      </c>
      <c r="N49" s="56" t="s">
        <v>3</v>
      </c>
      <c r="O49" s="57" t="s">
        <v>4</v>
      </c>
      <c r="P49" s="58" t="s">
        <v>5</v>
      </c>
      <c r="Q49" s="56" t="s">
        <v>3</v>
      </c>
      <c r="R49" s="57" t="s">
        <v>4</v>
      </c>
      <c r="S49" s="58" t="s">
        <v>5</v>
      </c>
      <c r="T49" s="56" t="s">
        <v>3</v>
      </c>
      <c r="U49" s="57" t="s">
        <v>4</v>
      </c>
      <c r="V49" s="58" t="s">
        <v>5</v>
      </c>
      <c r="W49" s="56" t="s">
        <v>3</v>
      </c>
      <c r="X49" s="57" t="s">
        <v>4</v>
      </c>
      <c r="Y49" s="58" t="s">
        <v>5</v>
      </c>
      <c r="Z49" s="56" t="s">
        <v>3</v>
      </c>
      <c r="AA49" s="57" t="s">
        <v>4</v>
      </c>
      <c r="AB49" s="58" t="s">
        <v>5</v>
      </c>
      <c r="AC49" s="56" t="s">
        <v>3</v>
      </c>
      <c r="AD49" s="57" t="s">
        <v>4</v>
      </c>
      <c r="AE49" s="58" t="s">
        <v>5</v>
      </c>
      <c r="AF49" s="56" t="s">
        <v>3</v>
      </c>
      <c r="AG49" s="57" t="s">
        <v>4</v>
      </c>
      <c r="AH49" s="58" t="s">
        <v>5</v>
      </c>
      <c r="AI49" s="56" t="s">
        <v>3</v>
      </c>
      <c r="AJ49" s="57" t="s">
        <v>4</v>
      </c>
      <c r="AK49" s="58" t="s">
        <v>5</v>
      </c>
      <c r="AL49" s="56" t="s">
        <v>3</v>
      </c>
      <c r="AM49" s="57" t="s">
        <v>4</v>
      </c>
      <c r="AN49" s="58" t="s">
        <v>5</v>
      </c>
      <c r="AO49" s="33"/>
      <c r="AP49" s="30"/>
      <c r="AQ49" s="30"/>
      <c r="AR49" s="30"/>
      <c r="AS49" s="30"/>
      <c r="AT49" s="30"/>
    </row>
    <row r="50" spans="1:46" ht="39.950000000000003" customHeight="1">
      <c r="A50" s="75" t="s">
        <v>43</v>
      </c>
      <c r="B50" s="239" t="s">
        <v>434</v>
      </c>
      <c r="C50" s="240" t="s">
        <v>42</v>
      </c>
      <c r="D50" s="241" t="s">
        <v>435</v>
      </c>
      <c r="E50" s="66" t="s">
        <v>434</v>
      </c>
      <c r="F50" s="67" t="s">
        <v>42</v>
      </c>
      <c r="G50" s="68" t="s">
        <v>435</v>
      </c>
      <c r="H50" s="66" t="s">
        <v>434</v>
      </c>
      <c r="I50" s="67" t="s">
        <v>42</v>
      </c>
      <c r="J50" s="68" t="s">
        <v>435</v>
      </c>
      <c r="K50" s="66" t="s">
        <v>434</v>
      </c>
      <c r="L50" s="67" t="s">
        <v>42</v>
      </c>
      <c r="M50" s="68" t="s">
        <v>435</v>
      </c>
      <c r="N50" s="239" t="s">
        <v>434</v>
      </c>
      <c r="O50" s="240" t="s">
        <v>42</v>
      </c>
      <c r="P50" s="241" t="s">
        <v>435</v>
      </c>
      <c r="Q50" s="66" t="s">
        <v>434</v>
      </c>
      <c r="R50" s="67" t="s">
        <v>42</v>
      </c>
      <c r="S50" s="68" t="s">
        <v>435</v>
      </c>
      <c r="T50" s="66" t="s">
        <v>434</v>
      </c>
      <c r="U50" s="67" t="s">
        <v>42</v>
      </c>
      <c r="V50" s="68" t="s">
        <v>435</v>
      </c>
      <c r="W50" s="66" t="s">
        <v>434</v>
      </c>
      <c r="X50" s="67" t="s">
        <v>42</v>
      </c>
      <c r="Y50" s="68" t="s">
        <v>435</v>
      </c>
      <c r="Z50" s="239" t="s">
        <v>434</v>
      </c>
      <c r="AA50" s="240" t="s">
        <v>42</v>
      </c>
      <c r="AB50" s="241" t="s">
        <v>435</v>
      </c>
      <c r="AC50" s="66" t="s">
        <v>434</v>
      </c>
      <c r="AD50" s="67" t="s">
        <v>42</v>
      </c>
      <c r="AE50" s="68" t="s">
        <v>435</v>
      </c>
      <c r="AF50" s="66" t="s">
        <v>434</v>
      </c>
      <c r="AG50" s="67" t="s">
        <v>42</v>
      </c>
      <c r="AH50" s="68" t="s">
        <v>435</v>
      </c>
      <c r="AI50" s="66" t="s">
        <v>434</v>
      </c>
      <c r="AJ50" s="67" t="s">
        <v>42</v>
      </c>
      <c r="AK50" s="68" t="s">
        <v>435</v>
      </c>
      <c r="AL50" s="239" t="s">
        <v>260</v>
      </c>
      <c r="AM50" s="240" t="s">
        <v>42</v>
      </c>
      <c r="AN50" s="241" t="s">
        <v>261</v>
      </c>
    </row>
    <row r="51" spans="1:46" ht="18" customHeight="1">
      <c r="A51" s="76" t="str">
        <f>IF($C$9="Data Not Entered On Set-Up Worksheet","",IF(OR(VLOOKUP($C$9,County_Lookup_MC,2,FALSE)="",VLOOKUP($C$9,County_Lookup_MC,2,FALSE)=0),"",VLOOKUP($C$9,County_Lookup_MC,2,FALSE)))</f>
        <v/>
      </c>
      <c r="B51" s="69"/>
      <c r="C51" s="61"/>
      <c r="D51" s="70" t="str">
        <f>IF($A51="","",IF(C51=0,0,B51/C51))</f>
        <v/>
      </c>
      <c r="E51" s="69"/>
      <c r="F51" s="61"/>
      <c r="G51" s="70" t="str">
        <f>IF($A51="","",IF(F51=0,0,E51/F51))</f>
        <v/>
      </c>
      <c r="H51" s="69"/>
      <c r="I51" s="61"/>
      <c r="J51" s="70" t="str">
        <f>IF($A51="","",IF(I51=0,0,H51/I51))</f>
        <v/>
      </c>
      <c r="K51" s="74" t="str">
        <f>IF($A51="","",SUM(E51,H51))</f>
        <v/>
      </c>
      <c r="L51" s="62" t="str">
        <f>IF($A51="","",SUM(F51,I51))</f>
        <v/>
      </c>
      <c r="M51" s="70" t="str">
        <f>IF($A51="","",IF(L51=0,0,K51/L51))</f>
        <v/>
      </c>
      <c r="N51" s="69"/>
      <c r="O51" s="61"/>
      <c r="P51" s="70" t="str">
        <f>IF($A51="","",IF(O51=0,0,N51/O51))</f>
        <v/>
      </c>
      <c r="Q51" s="69"/>
      <c r="R51" s="61"/>
      <c r="S51" s="70" t="str">
        <f>IF($A51="","",IF(R51=0,0,Q51/R51))</f>
        <v/>
      </c>
      <c r="T51" s="69"/>
      <c r="U51" s="61"/>
      <c r="V51" s="70" t="str">
        <f>IF($A51="","",IF(U51=0,0,T51/U51))</f>
        <v/>
      </c>
      <c r="W51" s="74" t="str">
        <f>IF($A51="","",SUM(Q51,T51))</f>
        <v/>
      </c>
      <c r="X51" s="62" t="str">
        <f>IF($A51="","",SUM(R51,U51))</f>
        <v/>
      </c>
      <c r="Y51" s="70" t="str">
        <f>IF($A51="","",IF(X51=0,0,W51/X51))</f>
        <v/>
      </c>
      <c r="Z51" s="69"/>
      <c r="AA51" s="61"/>
      <c r="AB51" s="70" t="str">
        <f>IF($A51="","",IF(AA51=0,0,Z51/AA51))</f>
        <v/>
      </c>
      <c r="AC51" s="69"/>
      <c r="AD51" s="61"/>
      <c r="AE51" s="70" t="str">
        <f>IF($A51="","",IF(AD51=0,0,AC51/AD51))</f>
        <v/>
      </c>
      <c r="AF51" s="69"/>
      <c r="AG51" s="61"/>
      <c r="AH51" s="70" t="str">
        <f>IF($A51="","",IF(AG51=0,0,AF51/AG51))</f>
        <v/>
      </c>
      <c r="AI51" s="74" t="str">
        <f>IF($A51="","",SUM(AC51,AF51))</f>
        <v/>
      </c>
      <c r="AJ51" s="62" t="str">
        <f>IF($A51="","",SUM(AD51,AG51))</f>
        <v/>
      </c>
      <c r="AK51" s="70" t="str">
        <f>IF($A51="","",IF(AJ51=0,0,AI51/AJ51))</f>
        <v/>
      </c>
      <c r="AL51" s="69"/>
      <c r="AM51" s="61"/>
      <c r="AN51" s="70" t="str">
        <f>IF($A51="","",IF(AM51=0,0,AL51/AM51))</f>
        <v/>
      </c>
    </row>
    <row r="52" spans="1:46" ht="18" customHeight="1">
      <c r="A52" s="77" t="str">
        <f>IF($C$9="Data Not Entered On Set-Up Worksheet","",IF(OR(VLOOKUP($C$9,County_Lookup_MC,3,FALSE)="",VLOOKUP($C$9,County_Lookup_MC,3,FALSE)=0),"",VLOOKUP($C$9,County_Lookup_MC,3,FALSE)))</f>
        <v/>
      </c>
      <c r="B52" s="69"/>
      <c r="C52" s="61"/>
      <c r="D52" s="70" t="str">
        <f t="shared" ref="D52:D74" si="54">IF($A52="","",IF(C52=0,0,B52/C52))</f>
        <v/>
      </c>
      <c r="E52" s="69"/>
      <c r="F52" s="61"/>
      <c r="G52" s="70" t="str">
        <f t="shared" ref="G52:G74" si="55">IF($A52="","",IF(F52=0,0,E52/F52))</f>
        <v/>
      </c>
      <c r="H52" s="69"/>
      <c r="I52" s="61"/>
      <c r="J52" s="70" t="str">
        <f t="shared" ref="J52:J74" si="56">IF($A52="","",IF(I52=0,0,H52/I52))</f>
        <v/>
      </c>
      <c r="K52" s="74" t="str">
        <f t="shared" ref="K52:K74" si="57">IF($A52="","",SUM(E52,H52))</f>
        <v/>
      </c>
      <c r="L52" s="62" t="str">
        <f t="shared" ref="L52:L74" si="58">IF($A52="","",SUM(F52,I52))</f>
        <v/>
      </c>
      <c r="M52" s="70" t="str">
        <f t="shared" ref="M52:M74" si="59">IF($A52="","",IF(L52=0,0,K52/L52))</f>
        <v/>
      </c>
      <c r="N52" s="69"/>
      <c r="O52" s="61"/>
      <c r="P52" s="70" t="str">
        <f t="shared" ref="P52:P74" si="60">IF($A52="","",IF(O52=0,0,N52/O52))</f>
        <v/>
      </c>
      <c r="Q52" s="69"/>
      <c r="R52" s="61"/>
      <c r="S52" s="70" t="str">
        <f t="shared" ref="S52:S74" si="61">IF($A52="","",IF(R52=0,0,Q52/R52))</f>
        <v/>
      </c>
      <c r="T52" s="69"/>
      <c r="U52" s="61"/>
      <c r="V52" s="70" t="str">
        <f t="shared" ref="V52:V74" si="62">IF($A52="","",IF(U52=0,0,T52/U52))</f>
        <v/>
      </c>
      <c r="W52" s="74" t="str">
        <f t="shared" ref="W52:W74" si="63">IF($A52="","",SUM(Q52,T52))</f>
        <v/>
      </c>
      <c r="X52" s="62" t="str">
        <f t="shared" ref="X52:X74" si="64">IF($A52="","",SUM(R52,U52))</f>
        <v/>
      </c>
      <c r="Y52" s="70" t="str">
        <f t="shared" ref="Y52:Y74" si="65">IF($A52="","",IF(X52=0,0,W52/X52))</f>
        <v/>
      </c>
      <c r="Z52" s="69"/>
      <c r="AA52" s="61"/>
      <c r="AB52" s="70" t="str">
        <f t="shared" ref="AB52:AB74" si="66">IF($A52="","",IF(AA52=0,0,Z52/AA52))</f>
        <v/>
      </c>
      <c r="AC52" s="69"/>
      <c r="AD52" s="61"/>
      <c r="AE52" s="70" t="str">
        <f t="shared" ref="AE52:AE74" si="67">IF($A52="","",IF(AD52=0,0,AC52/AD52))</f>
        <v/>
      </c>
      <c r="AF52" s="69"/>
      <c r="AG52" s="61"/>
      <c r="AH52" s="70" t="str">
        <f t="shared" ref="AH52:AH74" si="68">IF($A52="","",IF(AG52=0,0,AF52/AG52))</f>
        <v/>
      </c>
      <c r="AI52" s="74" t="str">
        <f t="shared" ref="AI52:AI74" si="69">IF($A52="","",SUM(AC52,AF52))</f>
        <v/>
      </c>
      <c r="AJ52" s="62" t="str">
        <f t="shared" ref="AJ52:AJ74" si="70">IF($A52="","",SUM(AD52,AG52))</f>
        <v/>
      </c>
      <c r="AK52" s="70" t="str">
        <f t="shared" ref="AK52:AK74" si="71">IF($A52="","",IF(AJ52=0,0,AI52/AJ52))</f>
        <v/>
      </c>
      <c r="AL52" s="69"/>
      <c r="AM52" s="61"/>
      <c r="AN52" s="70" t="str">
        <f t="shared" ref="AN52:AN74" si="72">IF($A52="","",IF(AM52=0,0,AL52/AM52))</f>
        <v/>
      </c>
    </row>
    <row r="53" spans="1:46" ht="18" customHeight="1">
      <c r="A53" s="77" t="str">
        <f>IF($C$9="Data Not Entered On Set-Up Worksheet","",IF(OR(VLOOKUP($C$9,County_Lookup_MC,4,FALSE)="",VLOOKUP($C$9,County_Lookup_MC,4,FALSE)=0),"",VLOOKUP($C$9,County_Lookup_MC,4,FALSE)))</f>
        <v/>
      </c>
      <c r="B53" s="69"/>
      <c r="C53" s="61"/>
      <c r="D53" s="70" t="str">
        <f t="shared" si="54"/>
        <v/>
      </c>
      <c r="E53" s="69"/>
      <c r="F53" s="61"/>
      <c r="G53" s="70" t="str">
        <f t="shared" si="55"/>
        <v/>
      </c>
      <c r="H53" s="69"/>
      <c r="I53" s="61"/>
      <c r="J53" s="70" t="str">
        <f t="shared" si="56"/>
        <v/>
      </c>
      <c r="K53" s="74" t="str">
        <f t="shared" si="57"/>
        <v/>
      </c>
      <c r="L53" s="62" t="str">
        <f t="shared" si="58"/>
        <v/>
      </c>
      <c r="M53" s="70" t="str">
        <f t="shared" si="59"/>
        <v/>
      </c>
      <c r="N53" s="69"/>
      <c r="O53" s="61"/>
      <c r="P53" s="70" t="str">
        <f t="shared" si="60"/>
        <v/>
      </c>
      <c r="Q53" s="69"/>
      <c r="R53" s="61"/>
      <c r="S53" s="70" t="str">
        <f t="shared" si="61"/>
        <v/>
      </c>
      <c r="T53" s="69"/>
      <c r="U53" s="61"/>
      <c r="V53" s="70" t="str">
        <f t="shared" si="62"/>
        <v/>
      </c>
      <c r="W53" s="74" t="str">
        <f t="shared" si="63"/>
        <v/>
      </c>
      <c r="X53" s="62" t="str">
        <f t="shared" si="64"/>
        <v/>
      </c>
      <c r="Y53" s="70" t="str">
        <f t="shared" si="65"/>
        <v/>
      </c>
      <c r="Z53" s="69"/>
      <c r="AA53" s="61"/>
      <c r="AB53" s="70" t="str">
        <f t="shared" si="66"/>
        <v/>
      </c>
      <c r="AC53" s="69"/>
      <c r="AD53" s="61"/>
      <c r="AE53" s="70" t="str">
        <f t="shared" si="67"/>
        <v/>
      </c>
      <c r="AF53" s="69"/>
      <c r="AG53" s="61"/>
      <c r="AH53" s="70" t="str">
        <f t="shared" si="68"/>
        <v/>
      </c>
      <c r="AI53" s="74" t="str">
        <f t="shared" si="69"/>
        <v/>
      </c>
      <c r="AJ53" s="62" t="str">
        <f t="shared" si="70"/>
        <v/>
      </c>
      <c r="AK53" s="70" t="str">
        <f t="shared" si="71"/>
        <v/>
      </c>
      <c r="AL53" s="69"/>
      <c r="AM53" s="61"/>
      <c r="AN53" s="70" t="str">
        <f t="shared" si="72"/>
        <v/>
      </c>
    </row>
    <row r="54" spans="1:46" ht="18" customHeight="1">
      <c r="A54" s="77" t="str">
        <f>IF($C$9="Data Not Entered On Set-Up Worksheet","",IF(OR(VLOOKUP($C$9,County_Lookup_MC,5,FALSE)="",VLOOKUP($C$9,County_Lookup_MC,5,FALSE)=0),"",VLOOKUP($C$9,County_Lookup_MC,5,FALSE)))</f>
        <v/>
      </c>
      <c r="B54" s="69"/>
      <c r="C54" s="61"/>
      <c r="D54" s="70" t="str">
        <f t="shared" si="54"/>
        <v/>
      </c>
      <c r="E54" s="69"/>
      <c r="F54" s="61"/>
      <c r="G54" s="70" t="str">
        <f t="shared" si="55"/>
        <v/>
      </c>
      <c r="H54" s="69"/>
      <c r="I54" s="61"/>
      <c r="J54" s="70" t="str">
        <f t="shared" si="56"/>
        <v/>
      </c>
      <c r="K54" s="74" t="str">
        <f t="shared" si="57"/>
        <v/>
      </c>
      <c r="L54" s="62" t="str">
        <f t="shared" si="58"/>
        <v/>
      </c>
      <c r="M54" s="70" t="str">
        <f t="shared" si="59"/>
        <v/>
      </c>
      <c r="N54" s="69"/>
      <c r="O54" s="61"/>
      <c r="P54" s="70" t="str">
        <f t="shared" si="60"/>
        <v/>
      </c>
      <c r="Q54" s="69"/>
      <c r="R54" s="61"/>
      <c r="S54" s="70" t="str">
        <f t="shared" si="61"/>
        <v/>
      </c>
      <c r="T54" s="69"/>
      <c r="U54" s="61"/>
      <c r="V54" s="70" t="str">
        <f t="shared" si="62"/>
        <v/>
      </c>
      <c r="W54" s="74" t="str">
        <f t="shared" si="63"/>
        <v/>
      </c>
      <c r="X54" s="62" t="str">
        <f t="shared" si="64"/>
        <v/>
      </c>
      <c r="Y54" s="70" t="str">
        <f t="shared" si="65"/>
        <v/>
      </c>
      <c r="Z54" s="69"/>
      <c r="AA54" s="61"/>
      <c r="AB54" s="70" t="str">
        <f t="shared" si="66"/>
        <v/>
      </c>
      <c r="AC54" s="69"/>
      <c r="AD54" s="61"/>
      <c r="AE54" s="70" t="str">
        <f t="shared" si="67"/>
        <v/>
      </c>
      <c r="AF54" s="69"/>
      <c r="AG54" s="61"/>
      <c r="AH54" s="70" t="str">
        <f t="shared" si="68"/>
        <v/>
      </c>
      <c r="AI54" s="74" t="str">
        <f t="shared" si="69"/>
        <v/>
      </c>
      <c r="AJ54" s="62" t="str">
        <f t="shared" si="70"/>
        <v/>
      </c>
      <c r="AK54" s="70" t="str">
        <f t="shared" si="71"/>
        <v/>
      </c>
      <c r="AL54" s="69"/>
      <c r="AM54" s="61"/>
      <c r="AN54" s="70" t="str">
        <f t="shared" si="72"/>
        <v/>
      </c>
    </row>
    <row r="55" spans="1:46" ht="18" customHeight="1">
      <c r="A55" s="77" t="str">
        <f>IF($C$9="Data Not Entered On Set-Up Worksheet","",IF(OR(VLOOKUP($C$9,County_Lookup_MC,6,FALSE)="",VLOOKUP($C$9,County_Lookup_MC,6,FALSE)=0),"",VLOOKUP($C$9,County_Lookup_MC,6,FALSE)))</f>
        <v/>
      </c>
      <c r="B55" s="69"/>
      <c r="C55" s="61"/>
      <c r="D55" s="70" t="str">
        <f t="shared" si="54"/>
        <v/>
      </c>
      <c r="E55" s="69"/>
      <c r="F55" s="61"/>
      <c r="G55" s="70" t="str">
        <f t="shared" si="55"/>
        <v/>
      </c>
      <c r="H55" s="69"/>
      <c r="I55" s="61"/>
      <c r="J55" s="70" t="str">
        <f t="shared" si="56"/>
        <v/>
      </c>
      <c r="K55" s="74" t="str">
        <f t="shared" si="57"/>
        <v/>
      </c>
      <c r="L55" s="62" t="str">
        <f t="shared" si="58"/>
        <v/>
      </c>
      <c r="M55" s="70" t="str">
        <f t="shared" si="59"/>
        <v/>
      </c>
      <c r="N55" s="69"/>
      <c r="O55" s="61"/>
      <c r="P55" s="70" t="str">
        <f t="shared" si="60"/>
        <v/>
      </c>
      <c r="Q55" s="69"/>
      <c r="R55" s="61"/>
      <c r="S55" s="70" t="str">
        <f t="shared" si="61"/>
        <v/>
      </c>
      <c r="T55" s="69"/>
      <c r="U55" s="61"/>
      <c r="V55" s="70" t="str">
        <f t="shared" si="62"/>
        <v/>
      </c>
      <c r="W55" s="74" t="str">
        <f t="shared" si="63"/>
        <v/>
      </c>
      <c r="X55" s="62" t="str">
        <f t="shared" si="64"/>
        <v/>
      </c>
      <c r="Y55" s="70" t="str">
        <f t="shared" si="65"/>
        <v/>
      </c>
      <c r="Z55" s="69"/>
      <c r="AA55" s="61"/>
      <c r="AB55" s="70" t="str">
        <f t="shared" si="66"/>
        <v/>
      </c>
      <c r="AC55" s="69"/>
      <c r="AD55" s="61"/>
      <c r="AE55" s="70" t="str">
        <f t="shared" si="67"/>
        <v/>
      </c>
      <c r="AF55" s="69"/>
      <c r="AG55" s="61"/>
      <c r="AH55" s="70" t="str">
        <f t="shared" si="68"/>
        <v/>
      </c>
      <c r="AI55" s="74" t="str">
        <f t="shared" si="69"/>
        <v/>
      </c>
      <c r="AJ55" s="62" t="str">
        <f t="shared" si="70"/>
        <v/>
      </c>
      <c r="AK55" s="70" t="str">
        <f t="shared" si="71"/>
        <v/>
      </c>
      <c r="AL55" s="69"/>
      <c r="AM55" s="61"/>
      <c r="AN55" s="70" t="str">
        <f t="shared" si="72"/>
        <v/>
      </c>
    </row>
    <row r="56" spans="1:46" ht="18" customHeight="1">
      <c r="A56" s="77" t="str">
        <f>IF($C$9="Data Not Entered On Set-Up Worksheet","",IF(OR(VLOOKUP($C$9,County_Lookup_MC,7,FALSE)="",VLOOKUP($C$9,County_Lookup_MC,7,FALSE)=0),"",VLOOKUP($C$9,County_Lookup_MC,7,FALSE)))</f>
        <v/>
      </c>
      <c r="B56" s="69"/>
      <c r="C56" s="61"/>
      <c r="D56" s="70" t="str">
        <f t="shared" si="54"/>
        <v/>
      </c>
      <c r="E56" s="69"/>
      <c r="F56" s="61"/>
      <c r="G56" s="70" t="str">
        <f t="shared" si="55"/>
        <v/>
      </c>
      <c r="H56" s="69"/>
      <c r="I56" s="61"/>
      <c r="J56" s="70" t="str">
        <f t="shared" si="56"/>
        <v/>
      </c>
      <c r="K56" s="74" t="str">
        <f t="shared" si="57"/>
        <v/>
      </c>
      <c r="L56" s="62" t="str">
        <f t="shared" si="58"/>
        <v/>
      </c>
      <c r="M56" s="70" t="str">
        <f t="shared" si="59"/>
        <v/>
      </c>
      <c r="N56" s="69"/>
      <c r="O56" s="61"/>
      <c r="P56" s="70" t="str">
        <f t="shared" si="60"/>
        <v/>
      </c>
      <c r="Q56" s="69"/>
      <c r="R56" s="61"/>
      <c r="S56" s="70" t="str">
        <f t="shared" si="61"/>
        <v/>
      </c>
      <c r="T56" s="69"/>
      <c r="U56" s="61"/>
      <c r="V56" s="70" t="str">
        <f t="shared" si="62"/>
        <v/>
      </c>
      <c r="W56" s="74" t="str">
        <f t="shared" si="63"/>
        <v/>
      </c>
      <c r="X56" s="62" t="str">
        <f t="shared" si="64"/>
        <v/>
      </c>
      <c r="Y56" s="70" t="str">
        <f t="shared" si="65"/>
        <v/>
      </c>
      <c r="Z56" s="69"/>
      <c r="AA56" s="61"/>
      <c r="AB56" s="70" t="str">
        <f t="shared" si="66"/>
        <v/>
      </c>
      <c r="AC56" s="69"/>
      <c r="AD56" s="61"/>
      <c r="AE56" s="70" t="str">
        <f t="shared" si="67"/>
        <v/>
      </c>
      <c r="AF56" s="69"/>
      <c r="AG56" s="61"/>
      <c r="AH56" s="70" t="str">
        <f t="shared" si="68"/>
        <v/>
      </c>
      <c r="AI56" s="74" t="str">
        <f t="shared" si="69"/>
        <v/>
      </c>
      <c r="AJ56" s="62" t="str">
        <f t="shared" si="70"/>
        <v/>
      </c>
      <c r="AK56" s="70" t="str">
        <f t="shared" si="71"/>
        <v/>
      </c>
      <c r="AL56" s="69"/>
      <c r="AM56" s="61"/>
      <c r="AN56" s="70" t="str">
        <f t="shared" si="72"/>
        <v/>
      </c>
    </row>
    <row r="57" spans="1:46" ht="18" customHeight="1">
      <c r="A57" s="76" t="str">
        <f>IF($C$9="Data Not Entered On Set-Up Worksheet","",IF(OR(VLOOKUP($C$9,County_Lookup_MC,8,FALSE)="",VLOOKUP($C$9,County_Lookup_MC,8,FALSE)=0),"",VLOOKUP($C$9,County_Lookup_MC,8,FALSE)))</f>
        <v/>
      </c>
      <c r="B57" s="69"/>
      <c r="C57" s="61"/>
      <c r="D57" s="70" t="str">
        <f t="shared" si="54"/>
        <v/>
      </c>
      <c r="E57" s="69"/>
      <c r="F57" s="61"/>
      <c r="G57" s="70" t="str">
        <f t="shared" si="55"/>
        <v/>
      </c>
      <c r="H57" s="69"/>
      <c r="I57" s="61"/>
      <c r="J57" s="70" t="str">
        <f t="shared" si="56"/>
        <v/>
      </c>
      <c r="K57" s="74" t="str">
        <f t="shared" si="57"/>
        <v/>
      </c>
      <c r="L57" s="62" t="str">
        <f t="shared" si="58"/>
        <v/>
      </c>
      <c r="M57" s="70" t="str">
        <f t="shared" si="59"/>
        <v/>
      </c>
      <c r="N57" s="69"/>
      <c r="O57" s="61"/>
      <c r="P57" s="70" t="str">
        <f t="shared" si="60"/>
        <v/>
      </c>
      <c r="Q57" s="69"/>
      <c r="R57" s="61"/>
      <c r="S57" s="70" t="str">
        <f t="shared" si="61"/>
        <v/>
      </c>
      <c r="T57" s="69"/>
      <c r="U57" s="61"/>
      <c r="V57" s="70" t="str">
        <f t="shared" si="62"/>
        <v/>
      </c>
      <c r="W57" s="74" t="str">
        <f t="shared" si="63"/>
        <v/>
      </c>
      <c r="X57" s="62" t="str">
        <f t="shared" si="64"/>
        <v/>
      </c>
      <c r="Y57" s="70" t="str">
        <f t="shared" si="65"/>
        <v/>
      </c>
      <c r="Z57" s="69"/>
      <c r="AA57" s="61"/>
      <c r="AB57" s="70" t="str">
        <f t="shared" si="66"/>
        <v/>
      </c>
      <c r="AC57" s="69"/>
      <c r="AD57" s="61"/>
      <c r="AE57" s="70" t="str">
        <f t="shared" si="67"/>
        <v/>
      </c>
      <c r="AF57" s="69"/>
      <c r="AG57" s="61"/>
      <c r="AH57" s="70" t="str">
        <f t="shared" si="68"/>
        <v/>
      </c>
      <c r="AI57" s="74" t="str">
        <f t="shared" si="69"/>
        <v/>
      </c>
      <c r="AJ57" s="62" t="str">
        <f t="shared" si="70"/>
        <v/>
      </c>
      <c r="AK57" s="70" t="str">
        <f t="shared" si="71"/>
        <v/>
      </c>
      <c r="AL57" s="69"/>
      <c r="AM57" s="61"/>
      <c r="AN57" s="70" t="str">
        <f t="shared" si="72"/>
        <v/>
      </c>
    </row>
    <row r="58" spans="1:46" ht="18" customHeight="1">
      <c r="A58" s="77" t="str">
        <f>IF($C$9="Data Not Entered On Set-Up Worksheet","",IF(OR(VLOOKUP($C$9,County_Lookup_MC,9,FALSE)="",VLOOKUP($C$9,County_Lookup_MC,9,FALSE)=0),"",VLOOKUP($C$9,County_Lookup_MC,9,FALSE)))</f>
        <v/>
      </c>
      <c r="B58" s="69"/>
      <c r="C58" s="61"/>
      <c r="D58" s="70" t="str">
        <f t="shared" si="54"/>
        <v/>
      </c>
      <c r="E58" s="69"/>
      <c r="F58" s="61"/>
      <c r="G58" s="70" t="str">
        <f t="shared" si="55"/>
        <v/>
      </c>
      <c r="H58" s="69"/>
      <c r="I58" s="61"/>
      <c r="J58" s="70" t="str">
        <f t="shared" si="56"/>
        <v/>
      </c>
      <c r="K58" s="74" t="str">
        <f t="shared" si="57"/>
        <v/>
      </c>
      <c r="L58" s="62" t="str">
        <f t="shared" si="58"/>
        <v/>
      </c>
      <c r="M58" s="70" t="str">
        <f t="shared" si="59"/>
        <v/>
      </c>
      <c r="N58" s="69"/>
      <c r="O58" s="61"/>
      <c r="P58" s="70" t="str">
        <f t="shared" si="60"/>
        <v/>
      </c>
      <c r="Q58" s="69"/>
      <c r="R58" s="61"/>
      <c r="S58" s="70" t="str">
        <f t="shared" si="61"/>
        <v/>
      </c>
      <c r="T58" s="69"/>
      <c r="U58" s="61"/>
      <c r="V58" s="70" t="str">
        <f t="shared" si="62"/>
        <v/>
      </c>
      <c r="W58" s="74" t="str">
        <f t="shared" si="63"/>
        <v/>
      </c>
      <c r="X58" s="62" t="str">
        <f t="shared" si="64"/>
        <v/>
      </c>
      <c r="Y58" s="70" t="str">
        <f t="shared" si="65"/>
        <v/>
      </c>
      <c r="Z58" s="69"/>
      <c r="AA58" s="61"/>
      <c r="AB58" s="70" t="str">
        <f t="shared" si="66"/>
        <v/>
      </c>
      <c r="AC58" s="69"/>
      <c r="AD58" s="61"/>
      <c r="AE58" s="70" t="str">
        <f t="shared" si="67"/>
        <v/>
      </c>
      <c r="AF58" s="69"/>
      <c r="AG58" s="61"/>
      <c r="AH58" s="70" t="str">
        <f t="shared" si="68"/>
        <v/>
      </c>
      <c r="AI58" s="74" t="str">
        <f t="shared" si="69"/>
        <v/>
      </c>
      <c r="AJ58" s="62" t="str">
        <f t="shared" si="70"/>
        <v/>
      </c>
      <c r="AK58" s="70" t="str">
        <f t="shared" si="71"/>
        <v/>
      </c>
      <c r="AL58" s="69"/>
      <c r="AM58" s="61"/>
      <c r="AN58" s="70" t="str">
        <f t="shared" si="72"/>
        <v/>
      </c>
    </row>
    <row r="59" spans="1:46" ht="18" customHeight="1">
      <c r="A59" s="77" t="str">
        <f>IF($C$9="Data Not Entered On Set-Up Worksheet","",IF(OR(VLOOKUP($C$9,County_Lookup_MC,10,FALSE)="",VLOOKUP($C$9,County_Lookup_MC,10,FALSE)=0),"",VLOOKUP($C$9,County_Lookup_MC,10,FALSE)))</f>
        <v/>
      </c>
      <c r="B59" s="69"/>
      <c r="C59" s="61"/>
      <c r="D59" s="70" t="str">
        <f t="shared" si="54"/>
        <v/>
      </c>
      <c r="E59" s="69"/>
      <c r="F59" s="61"/>
      <c r="G59" s="70" t="str">
        <f t="shared" si="55"/>
        <v/>
      </c>
      <c r="H59" s="69"/>
      <c r="I59" s="61"/>
      <c r="J59" s="70" t="str">
        <f t="shared" si="56"/>
        <v/>
      </c>
      <c r="K59" s="74" t="str">
        <f t="shared" si="57"/>
        <v/>
      </c>
      <c r="L59" s="62" t="str">
        <f t="shared" si="58"/>
        <v/>
      </c>
      <c r="M59" s="70" t="str">
        <f t="shared" si="59"/>
        <v/>
      </c>
      <c r="N59" s="69"/>
      <c r="O59" s="61"/>
      <c r="P59" s="70" t="str">
        <f t="shared" si="60"/>
        <v/>
      </c>
      <c r="Q59" s="69"/>
      <c r="R59" s="61"/>
      <c r="S59" s="70" t="str">
        <f t="shared" si="61"/>
        <v/>
      </c>
      <c r="T59" s="69"/>
      <c r="U59" s="61"/>
      <c r="V59" s="70" t="str">
        <f t="shared" si="62"/>
        <v/>
      </c>
      <c r="W59" s="74" t="str">
        <f t="shared" si="63"/>
        <v/>
      </c>
      <c r="X59" s="62" t="str">
        <f t="shared" si="64"/>
        <v/>
      </c>
      <c r="Y59" s="70" t="str">
        <f t="shared" si="65"/>
        <v/>
      </c>
      <c r="Z59" s="69"/>
      <c r="AA59" s="61"/>
      <c r="AB59" s="70" t="str">
        <f t="shared" si="66"/>
        <v/>
      </c>
      <c r="AC59" s="69"/>
      <c r="AD59" s="61"/>
      <c r="AE59" s="70" t="str">
        <f t="shared" si="67"/>
        <v/>
      </c>
      <c r="AF59" s="69"/>
      <c r="AG59" s="61"/>
      <c r="AH59" s="70" t="str">
        <f t="shared" si="68"/>
        <v/>
      </c>
      <c r="AI59" s="74" t="str">
        <f t="shared" si="69"/>
        <v/>
      </c>
      <c r="AJ59" s="62" t="str">
        <f t="shared" si="70"/>
        <v/>
      </c>
      <c r="AK59" s="70" t="str">
        <f t="shared" si="71"/>
        <v/>
      </c>
      <c r="AL59" s="69"/>
      <c r="AM59" s="61"/>
      <c r="AN59" s="70" t="str">
        <f t="shared" si="72"/>
        <v/>
      </c>
    </row>
    <row r="60" spans="1:46" ht="18" customHeight="1">
      <c r="A60" s="77" t="str">
        <f>IF($C$9="Data Not Entered On Set-Up Worksheet","",IF(OR(VLOOKUP($C$9,County_Lookup_MC,11,FALSE)="",VLOOKUP($C$9,County_Lookup_MC,11,FALSE)=0),"",VLOOKUP($C$9,County_Lookup_MC,11,FALSE)))</f>
        <v/>
      </c>
      <c r="B60" s="69"/>
      <c r="C60" s="61"/>
      <c r="D60" s="70" t="str">
        <f t="shared" si="54"/>
        <v/>
      </c>
      <c r="E60" s="69"/>
      <c r="F60" s="61"/>
      <c r="G60" s="70" t="str">
        <f t="shared" si="55"/>
        <v/>
      </c>
      <c r="H60" s="69"/>
      <c r="I60" s="61"/>
      <c r="J60" s="70" t="str">
        <f t="shared" si="56"/>
        <v/>
      </c>
      <c r="K60" s="74" t="str">
        <f t="shared" si="57"/>
        <v/>
      </c>
      <c r="L60" s="62" t="str">
        <f t="shared" si="58"/>
        <v/>
      </c>
      <c r="M60" s="70" t="str">
        <f t="shared" si="59"/>
        <v/>
      </c>
      <c r="N60" s="69"/>
      <c r="O60" s="61"/>
      <c r="P60" s="70" t="str">
        <f t="shared" si="60"/>
        <v/>
      </c>
      <c r="Q60" s="69"/>
      <c r="R60" s="61"/>
      <c r="S60" s="70" t="str">
        <f t="shared" si="61"/>
        <v/>
      </c>
      <c r="T60" s="69"/>
      <c r="U60" s="61"/>
      <c r="V60" s="70" t="str">
        <f t="shared" si="62"/>
        <v/>
      </c>
      <c r="W60" s="74" t="str">
        <f t="shared" si="63"/>
        <v/>
      </c>
      <c r="X60" s="62" t="str">
        <f t="shared" si="64"/>
        <v/>
      </c>
      <c r="Y60" s="70" t="str">
        <f t="shared" si="65"/>
        <v/>
      </c>
      <c r="Z60" s="69"/>
      <c r="AA60" s="61"/>
      <c r="AB60" s="70" t="str">
        <f t="shared" si="66"/>
        <v/>
      </c>
      <c r="AC60" s="69"/>
      <c r="AD60" s="61"/>
      <c r="AE60" s="70" t="str">
        <f t="shared" si="67"/>
        <v/>
      </c>
      <c r="AF60" s="69"/>
      <c r="AG60" s="61"/>
      <c r="AH60" s="70" t="str">
        <f t="shared" si="68"/>
        <v/>
      </c>
      <c r="AI60" s="74" t="str">
        <f t="shared" si="69"/>
        <v/>
      </c>
      <c r="AJ60" s="62" t="str">
        <f t="shared" si="70"/>
        <v/>
      </c>
      <c r="AK60" s="70" t="str">
        <f t="shared" si="71"/>
        <v/>
      </c>
      <c r="AL60" s="69"/>
      <c r="AM60" s="61"/>
      <c r="AN60" s="70" t="str">
        <f t="shared" si="72"/>
        <v/>
      </c>
    </row>
    <row r="61" spans="1:46" ht="18" customHeight="1">
      <c r="A61" s="77" t="str">
        <f>IF($C$9="Data Not Entered On Set-Up Worksheet","",IF(OR(VLOOKUP($C$9,County_Lookup_MC,12,FALSE)="",VLOOKUP($C$9,County_Lookup_MC,12,FALSE)=0),"",VLOOKUP($C$9,County_Lookup_MC,12,FALSE)))</f>
        <v/>
      </c>
      <c r="B61" s="69"/>
      <c r="C61" s="61"/>
      <c r="D61" s="70" t="str">
        <f t="shared" si="54"/>
        <v/>
      </c>
      <c r="E61" s="69"/>
      <c r="F61" s="61"/>
      <c r="G61" s="70" t="str">
        <f t="shared" si="55"/>
        <v/>
      </c>
      <c r="H61" s="69"/>
      <c r="I61" s="61"/>
      <c r="J61" s="70" t="str">
        <f t="shared" si="56"/>
        <v/>
      </c>
      <c r="K61" s="74" t="str">
        <f t="shared" si="57"/>
        <v/>
      </c>
      <c r="L61" s="62" t="str">
        <f t="shared" si="58"/>
        <v/>
      </c>
      <c r="M61" s="70" t="str">
        <f t="shared" si="59"/>
        <v/>
      </c>
      <c r="N61" s="69"/>
      <c r="O61" s="61"/>
      <c r="P61" s="70" t="str">
        <f t="shared" si="60"/>
        <v/>
      </c>
      <c r="Q61" s="69"/>
      <c r="R61" s="61"/>
      <c r="S61" s="70" t="str">
        <f t="shared" si="61"/>
        <v/>
      </c>
      <c r="T61" s="69"/>
      <c r="U61" s="61"/>
      <c r="V61" s="70" t="str">
        <f t="shared" si="62"/>
        <v/>
      </c>
      <c r="W61" s="74" t="str">
        <f t="shared" si="63"/>
        <v/>
      </c>
      <c r="X61" s="62" t="str">
        <f t="shared" si="64"/>
        <v/>
      </c>
      <c r="Y61" s="70" t="str">
        <f t="shared" si="65"/>
        <v/>
      </c>
      <c r="Z61" s="69"/>
      <c r="AA61" s="61"/>
      <c r="AB61" s="70" t="str">
        <f t="shared" si="66"/>
        <v/>
      </c>
      <c r="AC61" s="69"/>
      <c r="AD61" s="61"/>
      <c r="AE61" s="70" t="str">
        <f t="shared" si="67"/>
        <v/>
      </c>
      <c r="AF61" s="69"/>
      <c r="AG61" s="61"/>
      <c r="AH61" s="70" t="str">
        <f t="shared" si="68"/>
        <v/>
      </c>
      <c r="AI61" s="74" t="str">
        <f t="shared" si="69"/>
        <v/>
      </c>
      <c r="AJ61" s="62" t="str">
        <f t="shared" si="70"/>
        <v/>
      </c>
      <c r="AK61" s="70" t="str">
        <f t="shared" si="71"/>
        <v/>
      </c>
      <c r="AL61" s="69"/>
      <c r="AM61" s="61"/>
      <c r="AN61" s="70" t="str">
        <f t="shared" si="72"/>
        <v/>
      </c>
    </row>
    <row r="62" spans="1:46" ht="18" customHeight="1">
      <c r="A62" s="77" t="str">
        <f>IF($C$9="Data Not Entered On Set-Up Worksheet","",IF(OR(VLOOKUP($C$9,County_Lookup_MC,13,FALSE)="",VLOOKUP($C$9,County_Lookup_MC,13,FALSE)=0),"",VLOOKUP($C$9,County_Lookup_MC,13,FALSE)))</f>
        <v/>
      </c>
      <c r="B62" s="69"/>
      <c r="C62" s="61"/>
      <c r="D62" s="70" t="str">
        <f t="shared" si="54"/>
        <v/>
      </c>
      <c r="E62" s="69"/>
      <c r="F62" s="61"/>
      <c r="G62" s="70" t="str">
        <f t="shared" si="55"/>
        <v/>
      </c>
      <c r="H62" s="69"/>
      <c r="I62" s="61"/>
      <c r="J62" s="70" t="str">
        <f t="shared" si="56"/>
        <v/>
      </c>
      <c r="K62" s="74" t="str">
        <f t="shared" si="57"/>
        <v/>
      </c>
      <c r="L62" s="62" t="str">
        <f t="shared" si="58"/>
        <v/>
      </c>
      <c r="M62" s="70" t="str">
        <f t="shared" si="59"/>
        <v/>
      </c>
      <c r="N62" s="69"/>
      <c r="O62" s="61"/>
      <c r="P62" s="70" t="str">
        <f t="shared" si="60"/>
        <v/>
      </c>
      <c r="Q62" s="69"/>
      <c r="R62" s="61"/>
      <c r="S62" s="70" t="str">
        <f t="shared" si="61"/>
        <v/>
      </c>
      <c r="T62" s="69"/>
      <c r="U62" s="61"/>
      <c r="V62" s="70" t="str">
        <f t="shared" si="62"/>
        <v/>
      </c>
      <c r="W62" s="74" t="str">
        <f t="shared" si="63"/>
        <v/>
      </c>
      <c r="X62" s="62" t="str">
        <f t="shared" si="64"/>
        <v/>
      </c>
      <c r="Y62" s="70" t="str">
        <f t="shared" si="65"/>
        <v/>
      </c>
      <c r="Z62" s="69"/>
      <c r="AA62" s="61"/>
      <c r="AB62" s="70" t="str">
        <f t="shared" si="66"/>
        <v/>
      </c>
      <c r="AC62" s="69"/>
      <c r="AD62" s="61"/>
      <c r="AE62" s="70" t="str">
        <f t="shared" si="67"/>
        <v/>
      </c>
      <c r="AF62" s="69"/>
      <c r="AG62" s="61"/>
      <c r="AH62" s="70" t="str">
        <f t="shared" si="68"/>
        <v/>
      </c>
      <c r="AI62" s="74" t="str">
        <f t="shared" si="69"/>
        <v/>
      </c>
      <c r="AJ62" s="62" t="str">
        <f t="shared" si="70"/>
        <v/>
      </c>
      <c r="AK62" s="70" t="str">
        <f t="shared" si="71"/>
        <v/>
      </c>
      <c r="AL62" s="69"/>
      <c r="AM62" s="61"/>
      <c r="AN62" s="70" t="str">
        <f t="shared" si="72"/>
        <v/>
      </c>
    </row>
    <row r="63" spans="1:46" ht="18" customHeight="1">
      <c r="A63" s="77" t="str">
        <f>IF($C$9="Data Not Entered On Set-Up Worksheet","",IF(OR(VLOOKUP($C$9,County_Lookup_MC,14,FALSE)="",VLOOKUP($C$9,County_Lookup_MC,14,FALSE)=0),"",VLOOKUP($C$9,County_Lookup_MC,14,FALSE)))</f>
        <v/>
      </c>
      <c r="B63" s="69"/>
      <c r="C63" s="61"/>
      <c r="D63" s="70" t="str">
        <f t="shared" si="54"/>
        <v/>
      </c>
      <c r="E63" s="69"/>
      <c r="F63" s="61"/>
      <c r="G63" s="70" t="str">
        <f t="shared" si="55"/>
        <v/>
      </c>
      <c r="H63" s="69"/>
      <c r="I63" s="61"/>
      <c r="J63" s="70" t="str">
        <f t="shared" si="56"/>
        <v/>
      </c>
      <c r="K63" s="74" t="str">
        <f t="shared" si="57"/>
        <v/>
      </c>
      <c r="L63" s="62" t="str">
        <f t="shared" si="58"/>
        <v/>
      </c>
      <c r="M63" s="70" t="str">
        <f t="shared" si="59"/>
        <v/>
      </c>
      <c r="N63" s="69"/>
      <c r="O63" s="61"/>
      <c r="P63" s="70" t="str">
        <f t="shared" si="60"/>
        <v/>
      </c>
      <c r="Q63" s="69"/>
      <c r="R63" s="61"/>
      <c r="S63" s="70" t="str">
        <f t="shared" si="61"/>
        <v/>
      </c>
      <c r="T63" s="69"/>
      <c r="U63" s="61"/>
      <c r="V63" s="70" t="str">
        <f t="shared" si="62"/>
        <v/>
      </c>
      <c r="W63" s="74" t="str">
        <f t="shared" si="63"/>
        <v/>
      </c>
      <c r="X63" s="62" t="str">
        <f t="shared" si="64"/>
        <v/>
      </c>
      <c r="Y63" s="70" t="str">
        <f t="shared" si="65"/>
        <v/>
      </c>
      <c r="Z63" s="69"/>
      <c r="AA63" s="61"/>
      <c r="AB63" s="70" t="str">
        <f t="shared" si="66"/>
        <v/>
      </c>
      <c r="AC63" s="69"/>
      <c r="AD63" s="61"/>
      <c r="AE63" s="70" t="str">
        <f t="shared" si="67"/>
        <v/>
      </c>
      <c r="AF63" s="69"/>
      <c r="AG63" s="61"/>
      <c r="AH63" s="70" t="str">
        <f t="shared" si="68"/>
        <v/>
      </c>
      <c r="AI63" s="74" t="str">
        <f t="shared" si="69"/>
        <v/>
      </c>
      <c r="AJ63" s="62" t="str">
        <f t="shared" si="70"/>
        <v/>
      </c>
      <c r="AK63" s="70" t="str">
        <f t="shared" si="71"/>
        <v/>
      </c>
      <c r="AL63" s="69"/>
      <c r="AM63" s="61"/>
      <c r="AN63" s="70" t="str">
        <f t="shared" si="72"/>
        <v/>
      </c>
    </row>
    <row r="64" spans="1:46" ht="18" customHeight="1">
      <c r="A64" s="76" t="str">
        <f>IF($C$9="Data Not Entered On Set-Up Worksheet","",IF(OR(VLOOKUP($C$9,County_Lookup_MC,15,FALSE)="",VLOOKUP($C$9,County_Lookup_MC,15,FALSE)=0),"",VLOOKUP($C$9,County_Lookup_MC,15,FALSE)))</f>
        <v/>
      </c>
      <c r="B64" s="69"/>
      <c r="C64" s="61"/>
      <c r="D64" s="70" t="str">
        <f t="shared" si="54"/>
        <v/>
      </c>
      <c r="E64" s="69"/>
      <c r="F64" s="61"/>
      <c r="G64" s="70" t="str">
        <f t="shared" si="55"/>
        <v/>
      </c>
      <c r="H64" s="69"/>
      <c r="I64" s="61"/>
      <c r="J64" s="70" t="str">
        <f t="shared" si="56"/>
        <v/>
      </c>
      <c r="K64" s="74" t="str">
        <f t="shared" si="57"/>
        <v/>
      </c>
      <c r="L64" s="62" t="str">
        <f t="shared" si="58"/>
        <v/>
      </c>
      <c r="M64" s="70" t="str">
        <f t="shared" si="59"/>
        <v/>
      </c>
      <c r="N64" s="69"/>
      <c r="O64" s="61"/>
      <c r="P64" s="70" t="str">
        <f t="shared" si="60"/>
        <v/>
      </c>
      <c r="Q64" s="69"/>
      <c r="R64" s="61"/>
      <c r="S64" s="70" t="str">
        <f t="shared" si="61"/>
        <v/>
      </c>
      <c r="T64" s="69"/>
      <c r="U64" s="61"/>
      <c r="V64" s="70" t="str">
        <f t="shared" si="62"/>
        <v/>
      </c>
      <c r="W64" s="74" t="str">
        <f t="shared" si="63"/>
        <v/>
      </c>
      <c r="X64" s="62" t="str">
        <f t="shared" si="64"/>
        <v/>
      </c>
      <c r="Y64" s="70" t="str">
        <f t="shared" si="65"/>
        <v/>
      </c>
      <c r="Z64" s="69"/>
      <c r="AA64" s="61"/>
      <c r="AB64" s="70" t="str">
        <f t="shared" si="66"/>
        <v/>
      </c>
      <c r="AC64" s="69"/>
      <c r="AD64" s="61"/>
      <c r="AE64" s="70" t="str">
        <f t="shared" si="67"/>
        <v/>
      </c>
      <c r="AF64" s="69"/>
      <c r="AG64" s="61"/>
      <c r="AH64" s="70" t="str">
        <f t="shared" si="68"/>
        <v/>
      </c>
      <c r="AI64" s="74" t="str">
        <f t="shared" si="69"/>
        <v/>
      </c>
      <c r="AJ64" s="62" t="str">
        <f t="shared" si="70"/>
        <v/>
      </c>
      <c r="AK64" s="70" t="str">
        <f t="shared" si="71"/>
        <v/>
      </c>
      <c r="AL64" s="69"/>
      <c r="AM64" s="61"/>
      <c r="AN64" s="70" t="str">
        <f t="shared" si="72"/>
        <v/>
      </c>
    </row>
    <row r="65" spans="1:40" ht="18" customHeight="1">
      <c r="A65" s="77" t="str">
        <f>IF($C$9="Data Not Entered On Set-Up Worksheet","",IF(OR(VLOOKUP($C$9,County_Lookup_MC,16,FALSE)="",VLOOKUP($C$9,County_Lookup_MC,16,FALSE)=0),"",VLOOKUP($C$9,County_Lookup_MC,16,FALSE)))</f>
        <v/>
      </c>
      <c r="B65" s="69"/>
      <c r="C65" s="61"/>
      <c r="D65" s="70" t="str">
        <f t="shared" si="54"/>
        <v/>
      </c>
      <c r="E65" s="69"/>
      <c r="F65" s="61"/>
      <c r="G65" s="70" t="str">
        <f t="shared" si="55"/>
        <v/>
      </c>
      <c r="H65" s="69"/>
      <c r="I65" s="61"/>
      <c r="J65" s="70" t="str">
        <f t="shared" si="56"/>
        <v/>
      </c>
      <c r="K65" s="74" t="str">
        <f t="shared" si="57"/>
        <v/>
      </c>
      <c r="L65" s="62" t="str">
        <f t="shared" si="58"/>
        <v/>
      </c>
      <c r="M65" s="70" t="str">
        <f t="shared" si="59"/>
        <v/>
      </c>
      <c r="N65" s="69"/>
      <c r="O65" s="61"/>
      <c r="P65" s="70" t="str">
        <f t="shared" si="60"/>
        <v/>
      </c>
      <c r="Q65" s="69"/>
      <c r="R65" s="61"/>
      <c r="S65" s="70" t="str">
        <f t="shared" si="61"/>
        <v/>
      </c>
      <c r="T65" s="69"/>
      <c r="U65" s="61"/>
      <c r="V65" s="70" t="str">
        <f t="shared" si="62"/>
        <v/>
      </c>
      <c r="W65" s="74" t="str">
        <f t="shared" si="63"/>
        <v/>
      </c>
      <c r="X65" s="62" t="str">
        <f t="shared" si="64"/>
        <v/>
      </c>
      <c r="Y65" s="70" t="str">
        <f t="shared" si="65"/>
        <v/>
      </c>
      <c r="Z65" s="69"/>
      <c r="AA65" s="61"/>
      <c r="AB65" s="70" t="str">
        <f t="shared" si="66"/>
        <v/>
      </c>
      <c r="AC65" s="69"/>
      <c r="AD65" s="61"/>
      <c r="AE65" s="70" t="str">
        <f t="shared" si="67"/>
        <v/>
      </c>
      <c r="AF65" s="69"/>
      <c r="AG65" s="61"/>
      <c r="AH65" s="70" t="str">
        <f t="shared" si="68"/>
        <v/>
      </c>
      <c r="AI65" s="74" t="str">
        <f t="shared" si="69"/>
        <v/>
      </c>
      <c r="AJ65" s="62" t="str">
        <f t="shared" si="70"/>
        <v/>
      </c>
      <c r="AK65" s="70" t="str">
        <f t="shared" si="71"/>
        <v/>
      </c>
      <c r="AL65" s="69"/>
      <c r="AM65" s="61"/>
      <c r="AN65" s="70" t="str">
        <f t="shared" si="72"/>
        <v/>
      </c>
    </row>
    <row r="66" spans="1:40" ht="18" customHeight="1">
      <c r="A66" s="77" t="str">
        <f>IF($C$9="Data Not Entered On Set-Up Worksheet","",IF(OR(VLOOKUP($C$9,County_Lookup_MC,17,FALSE)="",VLOOKUP($C$9,County_Lookup_MC,17,FALSE)=0),"",VLOOKUP($C$9,County_Lookup_MC,17,FALSE)))</f>
        <v/>
      </c>
      <c r="B66" s="69"/>
      <c r="C66" s="61"/>
      <c r="D66" s="70" t="str">
        <f t="shared" si="54"/>
        <v/>
      </c>
      <c r="E66" s="69"/>
      <c r="F66" s="61"/>
      <c r="G66" s="70" t="str">
        <f t="shared" si="55"/>
        <v/>
      </c>
      <c r="H66" s="69"/>
      <c r="I66" s="61"/>
      <c r="J66" s="70" t="str">
        <f t="shared" si="56"/>
        <v/>
      </c>
      <c r="K66" s="74" t="str">
        <f t="shared" si="57"/>
        <v/>
      </c>
      <c r="L66" s="62" t="str">
        <f t="shared" si="58"/>
        <v/>
      </c>
      <c r="M66" s="70" t="str">
        <f t="shared" si="59"/>
        <v/>
      </c>
      <c r="N66" s="69"/>
      <c r="O66" s="61"/>
      <c r="P66" s="70" t="str">
        <f t="shared" si="60"/>
        <v/>
      </c>
      <c r="Q66" s="69"/>
      <c r="R66" s="61"/>
      <c r="S66" s="70" t="str">
        <f t="shared" si="61"/>
        <v/>
      </c>
      <c r="T66" s="69"/>
      <c r="U66" s="61"/>
      <c r="V66" s="70" t="str">
        <f t="shared" si="62"/>
        <v/>
      </c>
      <c r="W66" s="74" t="str">
        <f t="shared" si="63"/>
        <v/>
      </c>
      <c r="X66" s="62" t="str">
        <f t="shared" si="64"/>
        <v/>
      </c>
      <c r="Y66" s="70" t="str">
        <f t="shared" si="65"/>
        <v/>
      </c>
      <c r="Z66" s="69"/>
      <c r="AA66" s="61"/>
      <c r="AB66" s="70" t="str">
        <f t="shared" si="66"/>
        <v/>
      </c>
      <c r="AC66" s="69"/>
      <c r="AD66" s="61"/>
      <c r="AE66" s="70" t="str">
        <f t="shared" si="67"/>
        <v/>
      </c>
      <c r="AF66" s="69"/>
      <c r="AG66" s="61"/>
      <c r="AH66" s="70" t="str">
        <f t="shared" si="68"/>
        <v/>
      </c>
      <c r="AI66" s="74" t="str">
        <f t="shared" si="69"/>
        <v/>
      </c>
      <c r="AJ66" s="62" t="str">
        <f t="shared" si="70"/>
        <v/>
      </c>
      <c r="AK66" s="70" t="str">
        <f t="shared" si="71"/>
        <v/>
      </c>
      <c r="AL66" s="69"/>
      <c r="AM66" s="61"/>
      <c r="AN66" s="70" t="str">
        <f t="shared" si="72"/>
        <v/>
      </c>
    </row>
    <row r="67" spans="1:40" ht="18" customHeight="1">
      <c r="A67" s="77" t="str">
        <f>IF($C$9="Data Not Entered On Set-Up Worksheet","",IF(OR(VLOOKUP($C$9,County_Lookup_MC,18,FALSE)="",VLOOKUP($C$9,County_Lookup_MC,18,FALSE)=0),"",VLOOKUP($C$9,County_Lookup_MC,18,FALSE)))</f>
        <v/>
      </c>
      <c r="B67" s="69"/>
      <c r="C67" s="61"/>
      <c r="D67" s="70" t="str">
        <f t="shared" si="54"/>
        <v/>
      </c>
      <c r="E67" s="69"/>
      <c r="F67" s="61"/>
      <c r="G67" s="70" t="str">
        <f t="shared" si="55"/>
        <v/>
      </c>
      <c r="H67" s="69"/>
      <c r="I67" s="61"/>
      <c r="J67" s="70" t="str">
        <f t="shared" si="56"/>
        <v/>
      </c>
      <c r="K67" s="74" t="str">
        <f t="shared" si="57"/>
        <v/>
      </c>
      <c r="L67" s="62" t="str">
        <f t="shared" si="58"/>
        <v/>
      </c>
      <c r="M67" s="70" t="str">
        <f t="shared" si="59"/>
        <v/>
      </c>
      <c r="N67" s="69"/>
      <c r="O67" s="61"/>
      <c r="P67" s="70" t="str">
        <f t="shared" si="60"/>
        <v/>
      </c>
      <c r="Q67" s="69"/>
      <c r="R67" s="61"/>
      <c r="S67" s="70" t="str">
        <f t="shared" si="61"/>
        <v/>
      </c>
      <c r="T67" s="69"/>
      <c r="U67" s="61"/>
      <c r="V67" s="70" t="str">
        <f t="shared" si="62"/>
        <v/>
      </c>
      <c r="W67" s="74" t="str">
        <f t="shared" si="63"/>
        <v/>
      </c>
      <c r="X67" s="62" t="str">
        <f t="shared" si="64"/>
        <v/>
      </c>
      <c r="Y67" s="70" t="str">
        <f t="shared" si="65"/>
        <v/>
      </c>
      <c r="Z67" s="69"/>
      <c r="AA67" s="61"/>
      <c r="AB67" s="70" t="str">
        <f t="shared" si="66"/>
        <v/>
      </c>
      <c r="AC67" s="69"/>
      <c r="AD67" s="61"/>
      <c r="AE67" s="70" t="str">
        <f t="shared" si="67"/>
        <v/>
      </c>
      <c r="AF67" s="69"/>
      <c r="AG67" s="61"/>
      <c r="AH67" s="70" t="str">
        <f t="shared" si="68"/>
        <v/>
      </c>
      <c r="AI67" s="74" t="str">
        <f t="shared" si="69"/>
        <v/>
      </c>
      <c r="AJ67" s="62" t="str">
        <f t="shared" si="70"/>
        <v/>
      </c>
      <c r="AK67" s="70" t="str">
        <f t="shared" si="71"/>
        <v/>
      </c>
      <c r="AL67" s="69"/>
      <c r="AM67" s="61"/>
      <c r="AN67" s="70" t="str">
        <f t="shared" si="72"/>
        <v/>
      </c>
    </row>
    <row r="68" spans="1:40" ht="18" customHeight="1">
      <c r="A68" s="77" t="str">
        <f>IF($C$9="Data Not Entered On Set-Up Worksheet","",IF(OR(VLOOKUP($C$9,County_Lookup_MC,19,FALSE)="",VLOOKUP($C$9,County_Lookup_MC,19,FALSE)=0),"",VLOOKUP($C$9,County_Lookup_MC,19,FALSE)))</f>
        <v/>
      </c>
      <c r="B68" s="69"/>
      <c r="C68" s="61"/>
      <c r="D68" s="70" t="str">
        <f t="shared" si="54"/>
        <v/>
      </c>
      <c r="E68" s="69"/>
      <c r="F68" s="61"/>
      <c r="G68" s="70" t="str">
        <f t="shared" si="55"/>
        <v/>
      </c>
      <c r="H68" s="69"/>
      <c r="I68" s="61"/>
      <c r="J68" s="70" t="str">
        <f t="shared" si="56"/>
        <v/>
      </c>
      <c r="K68" s="74" t="str">
        <f t="shared" si="57"/>
        <v/>
      </c>
      <c r="L68" s="62" t="str">
        <f t="shared" si="58"/>
        <v/>
      </c>
      <c r="M68" s="70" t="str">
        <f t="shared" si="59"/>
        <v/>
      </c>
      <c r="N68" s="69"/>
      <c r="O68" s="61"/>
      <c r="P68" s="70" t="str">
        <f t="shared" si="60"/>
        <v/>
      </c>
      <c r="Q68" s="69"/>
      <c r="R68" s="61"/>
      <c r="S68" s="70" t="str">
        <f t="shared" si="61"/>
        <v/>
      </c>
      <c r="T68" s="69"/>
      <c r="U68" s="61"/>
      <c r="V68" s="70" t="str">
        <f t="shared" si="62"/>
        <v/>
      </c>
      <c r="W68" s="74" t="str">
        <f t="shared" si="63"/>
        <v/>
      </c>
      <c r="X68" s="62" t="str">
        <f t="shared" si="64"/>
        <v/>
      </c>
      <c r="Y68" s="70" t="str">
        <f t="shared" si="65"/>
        <v/>
      </c>
      <c r="Z68" s="69"/>
      <c r="AA68" s="61"/>
      <c r="AB68" s="70" t="str">
        <f t="shared" si="66"/>
        <v/>
      </c>
      <c r="AC68" s="69"/>
      <c r="AD68" s="61"/>
      <c r="AE68" s="70" t="str">
        <f t="shared" si="67"/>
        <v/>
      </c>
      <c r="AF68" s="69"/>
      <c r="AG68" s="61"/>
      <c r="AH68" s="70" t="str">
        <f t="shared" si="68"/>
        <v/>
      </c>
      <c r="AI68" s="74" t="str">
        <f t="shared" si="69"/>
        <v/>
      </c>
      <c r="AJ68" s="62" t="str">
        <f t="shared" si="70"/>
        <v/>
      </c>
      <c r="AK68" s="70" t="str">
        <f t="shared" si="71"/>
        <v/>
      </c>
      <c r="AL68" s="69"/>
      <c r="AM68" s="61"/>
      <c r="AN68" s="70" t="str">
        <f t="shared" si="72"/>
        <v/>
      </c>
    </row>
    <row r="69" spans="1:40" ht="18" customHeight="1">
      <c r="A69" s="77" t="str">
        <f>IF($C$9="Data Not Entered On Set-Up Worksheet","",IF(OR(VLOOKUP($C$9,County_Lookup_MC,20,FALSE)="",VLOOKUP($C$9,County_Lookup_MC,20,FALSE)=0),"",VLOOKUP($C$9,County_Lookup_MC,20,FALSE)))</f>
        <v/>
      </c>
      <c r="B69" s="69"/>
      <c r="C69" s="61"/>
      <c r="D69" s="70" t="str">
        <f t="shared" si="54"/>
        <v/>
      </c>
      <c r="E69" s="69"/>
      <c r="F69" s="61"/>
      <c r="G69" s="70" t="str">
        <f t="shared" si="55"/>
        <v/>
      </c>
      <c r="H69" s="69"/>
      <c r="I69" s="61"/>
      <c r="J69" s="70" t="str">
        <f t="shared" si="56"/>
        <v/>
      </c>
      <c r="K69" s="74" t="str">
        <f t="shared" si="57"/>
        <v/>
      </c>
      <c r="L69" s="62" t="str">
        <f t="shared" si="58"/>
        <v/>
      </c>
      <c r="M69" s="70" t="str">
        <f t="shared" si="59"/>
        <v/>
      </c>
      <c r="N69" s="69"/>
      <c r="O69" s="61"/>
      <c r="P69" s="70" t="str">
        <f t="shared" si="60"/>
        <v/>
      </c>
      <c r="Q69" s="69"/>
      <c r="R69" s="61"/>
      <c r="S69" s="70" t="str">
        <f t="shared" si="61"/>
        <v/>
      </c>
      <c r="T69" s="69"/>
      <c r="U69" s="61"/>
      <c r="V69" s="70" t="str">
        <f t="shared" si="62"/>
        <v/>
      </c>
      <c r="W69" s="74" t="str">
        <f t="shared" si="63"/>
        <v/>
      </c>
      <c r="X69" s="62" t="str">
        <f t="shared" si="64"/>
        <v/>
      </c>
      <c r="Y69" s="70" t="str">
        <f t="shared" si="65"/>
        <v/>
      </c>
      <c r="Z69" s="69"/>
      <c r="AA69" s="61"/>
      <c r="AB69" s="70" t="str">
        <f t="shared" si="66"/>
        <v/>
      </c>
      <c r="AC69" s="69"/>
      <c r="AD69" s="61"/>
      <c r="AE69" s="70" t="str">
        <f t="shared" si="67"/>
        <v/>
      </c>
      <c r="AF69" s="69"/>
      <c r="AG69" s="61"/>
      <c r="AH69" s="70" t="str">
        <f t="shared" si="68"/>
        <v/>
      </c>
      <c r="AI69" s="74" t="str">
        <f t="shared" si="69"/>
        <v/>
      </c>
      <c r="AJ69" s="62" t="str">
        <f t="shared" si="70"/>
        <v/>
      </c>
      <c r="AK69" s="70" t="str">
        <f t="shared" si="71"/>
        <v/>
      </c>
      <c r="AL69" s="69"/>
      <c r="AM69" s="61"/>
      <c r="AN69" s="70" t="str">
        <f t="shared" si="72"/>
        <v/>
      </c>
    </row>
    <row r="70" spans="1:40" ht="18" customHeight="1">
      <c r="A70" s="77" t="str">
        <f>IF($C$9="Data Not Entered On Set-Up Worksheet","",IF(OR(VLOOKUP($C$9,County_Lookup_MC,21,FALSE)="",VLOOKUP($C$9,County_Lookup_MC,21,FALSE)=0),"",VLOOKUP($C$9,County_Lookup_MC,21,FALSE)))</f>
        <v/>
      </c>
      <c r="B70" s="69"/>
      <c r="C70" s="61"/>
      <c r="D70" s="70" t="str">
        <f t="shared" si="54"/>
        <v/>
      </c>
      <c r="E70" s="69"/>
      <c r="F70" s="61"/>
      <c r="G70" s="70" t="str">
        <f t="shared" si="55"/>
        <v/>
      </c>
      <c r="H70" s="69"/>
      <c r="I70" s="61"/>
      <c r="J70" s="70" t="str">
        <f t="shared" si="56"/>
        <v/>
      </c>
      <c r="K70" s="74" t="str">
        <f t="shared" si="57"/>
        <v/>
      </c>
      <c r="L70" s="62" t="str">
        <f t="shared" si="58"/>
        <v/>
      </c>
      <c r="M70" s="70" t="str">
        <f t="shared" si="59"/>
        <v/>
      </c>
      <c r="N70" s="69"/>
      <c r="O70" s="61"/>
      <c r="P70" s="70" t="str">
        <f t="shared" si="60"/>
        <v/>
      </c>
      <c r="Q70" s="69"/>
      <c r="R70" s="61"/>
      <c r="S70" s="70" t="str">
        <f t="shared" si="61"/>
        <v/>
      </c>
      <c r="T70" s="69"/>
      <c r="U70" s="61"/>
      <c r="V70" s="70" t="str">
        <f t="shared" si="62"/>
        <v/>
      </c>
      <c r="W70" s="74" t="str">
        <f t="shared" si="63"/>
        <v/>
      </c>
      <c r="X70" s="62" t="str">
        <f t="shared" si="64"/>
        <v/>
      </c>
      <c r="Y70" s="70" t="str">
        <f t="shared" si="65"/>
        <v/>
      </c>
      <c r="Z70" s="69"/>
      <c r="AA70" s="61"/>
      <c r="AB70" s="70" t="str">
        <f t="shared" si="66"/>
        <v/>
      </c>
      <c r="AC70" s="69"/>
      <c r="AD70" s="61"/>
      <c r="AE70" s="70" t="str">
        <f t="shared" si="67"/>
        <v/>
      </c>
      <c r="AF70" s="69"/>
      <c r="AG70" s="61"/>
      <c r="AH70" s="70" t="str">
        <f t="shared" si="68"/>
        <v/>
      </c>
      <c r="AI70" s="74" t="str">
        <f t="shared" si="69"/>
        <v/>
      </c>
      <c r="AJ70" s="62" t="str">
        <f t="shared" si="70"/>
        <v/>
      </c>
      <c r="AK70" s="70" t="str">
        <f t="shared" si="71"/>
        <v/>
      </c>
      <c r="AL70" s="69"/>
      <c r="AM70" s="61"/>
      <c r="AN70" s="70" t="str">
        <f t="shared" si="72"/>
        <v/>
      </c>
    </row>
    <row r="71" spans="1:40" ht="18" customHeight="1">
      <c r="A71" s="76" t="str">
        <f>IF($C$9="Data Not Entered On Set-Up Worksheet","",IF(OR(VLOOKUP($C$9,County_Lookup_MC,22,FALSE)="",VLOOKUP($C$9,County_Lookup_MC,22,FALSE)=0),"",VLOOKUP($C$9,County_Lookup_MC,22,FALSE)))</f>
        <v/>
      </c>
      <c r="B71" s="69"/>
      <c r="C71" s="61"/>
      <c r="D71" s="70" t="str">
        <f t="shared" si="54"/>
        <v/>
      </c>
      <c r="E71" s="69"/>
      <c r="F71" s="61"/>
      <c r="G71" s="70" t="str">
        <f t="shared" si="55"/>
        <v/>
      </c>
      <c r="H71" s="69"/>
      <c r="I71" s="61"/>
      <c r="J71" s="70" t="str">
        <f t="shared" si="56"/>
        <v/>
      </c>
      <c r="K71" s="74" t="str">
        <f t="shared" si="57"/>
        <v/>
      </c>
      <c r="L71" s="62" t="str">
        <f t="shared" si="58"/>
        <v/>
      </c>
      <c r="M71" s="70" t="str">
        <f t="shared" si="59"/>
        <v/>
      </c>
      <c r="N71" s="69"/>
      <c r="O71" s="61"/>
      <c r="P71" s="70" t="str">
        <f t="shared" si="60"/>
        <v/>
      </c>
      <c r="Q71" s="69"/>
      <c r="R71" s="61"/>
      <c r="S71" s="70" t="str">
        <f t="shared" si="61"/>
        <v/>
      </c>
      <c r="T71" s="69"/>
      <c r="U71" s="61"/>
      <c r="V71" s="70" t="str">
        <f t="shared" si="62"/>
        <v/>
      </c>
      <c r="W71" s="74" t="str">
        <f t="shared" si="63"/>
        <v/>
      </c>
      <c r="X71" s="62" t="str">
        <f t="shared" si="64"/>
        <v/>
      </c>
      <c r="Y71" s="70" t="str">
        <f t="shared" si="65"/>
        <v/>
      </c>
      <c r="Z71" s="69"/>
      <c r="AA71" s="61"/>
      <c r="AB71" s="70" t="str">
        <f t="shared" si="66"/>
        <v/>
      </c>
      <c r="AC71" s="69"/>
      <c r="AD71" s="61"/>
      <c r="AE71" s="70" t="str">
        <f t="shared" si="67"/>
        <v/>
      </c>
      <c r="AF71" s="69"/>
      <c r="AG71" s="61"/>
      <c r="AH71" s="70" t="str">
        <f t="shared" si="68"/>
        <v/>
      </c>
      <c r="AI71" s="74" t="str">
        <f t="shared" si="69"/>
        <v/>
      </c>
      <c r="AJ71" s="62" t="str">
        <f t="shared" si="70"/>
        <v/>
      </c>
      <c r="AK71" s="70" t="str">
        <f t="shared" si="71"/>
        <v/>
      </c>
      <c r="AL71" s="69"/>
      <c r="AM71" s="61"/>
      <c r="AN71" s="70" t="str">
        <f t="shared" si="72"/>
        <v/>
      </c>
    </row>
    <row r="72" spans="1:40" ht="18" customHeight="1">
      <c r="A72" s="77" t="str">
        <f>IF($C$9="Data Not Entered On Set-Up Worksheet","",IF(OR(VLOOKUP($C$9,County_Lookup_MC,23,FALSE)="",VLOOKUP($C$9,County_Lookup_MC,23,FALSE)=0),"",VLOOKUP($C$9,County_Lookup_MC,23,FALSE)))</f>
        <v/>
      </c>
      <c r="B72" s="69"/>
      <c r="C72" s="61"/>
      <c r="D72" s="70" t="str">
        <f t="shared" si="54"/>
        <v/>
      </c>
      <c r="E72" s="69"/>
      <c r="F72" s="61"/>
      <c r="G72" s="70" t="str">
        <f t="shared" si="55"/>
        <v/>
      </c>
      <c r="H72" s="69"/>
      <c r="I72" s="61"/>
      <c r="J72" s="70" t="str">
        <f t="shared" si="56"/>
        <v/>
      </c>
      <c r="K72" s="74" t="str">
        <f t="shared" si="57"/>
        <v/>
      </c>
      <c r="L72" s="62" t="str">
        <f t="shared" si="58"/>
        <v/>
      </c>
      <c r="M72" s="70" t="str">
        <f t="shared" si="59"/>
        <v/>
      </c>
      <c r="N72" s="69"/>
      <c r="O72" s="61"/>
      <c r="P72" s="70" t="str">
        <f t="shared" si="60"/>
        <v/>
      </c>
      <c r="Q72" s="69"/>
      <c r="R72" s="61"/>
      <c r="S72" s="70" t="str">
        <f t="shared" si="61"/>
        <v/>
      </c>
      <c r="T72" s="69"/>
      <c r="U72" s="61"/>
      <c r="V72" s="70" t="str">
        <f t="shared" si="62"/>
        <v/>
      </c>
      <c r="W72" s="74" t="str">
        <f t="shared" si="63"/>
        <v/>
      </c>
      <c r="X72" s="62" t="str">
        <f t="shared" si="64"/>
        <v/>
      </c>
      <c r="Y72" s="70" t="str">
        <f t="shared" si="65"/>
        <v/>
      </c>
      <c r="Z72" s="69"/>
      <c r="AA72" s="61"/>
      <c r="AB72" s="70" t="str">
        <f t="shared" si="66"/>
        <v/>
      </c>
      <c r="AC72" s="69"/>
      <c r="AD72" s="61"/>
      <c r="AE72" s="70" t="str">
        <f t="shared" si="67"/>
        <v/>
      </c>
      <c r="AF72" s="69"/>
      <c r="AG72" s="61"/>
      <c r="AH72" s="70" t="str">
        <f t="shared" si="68"/>
        <v/>
      </c>
      <c r="AI72" s="74" t="str">
        <f t="shared" si="69"/>
        <v/>
      </c>
      <c r="AJ72" s="62" t="str">
        <f t="shared" si="70"/>
        <v/>
      </c>
      <c r="AK72" s="70" t="str">
        <f t="shared" si="71"/>
        <v/>
      </c>
      <c r="AL72" s="69"/>
      <c r="AM72" s="61"/>
      <c r="AN72" s="70" t="str">
        <f t="shared" si="72"/>
        <v/>
      </c>
    </row>
    <row r="73" spans="1:40" ht="18" customHeight="1">
      <c r="A73" s="77" t="str">
        <f>IF($C$9="Data Not Entered On Set-Up Worksheet","",IF(OR(VLOOKUP($C$9,County_Lookup_MC,24,FALSE)="",VLOOKUP($C$9,County_Lookup_MC,24,FALSE)=0),"",VLOOKUP($C$9,County_Lookup_MC,24,FALSE)))</f>
        <v/>
      </c>
      <c r="B73" s="69"/>
      <c r="C73" s="61"/>
      <c r="D73" s="70" t="str">
        <f t="shared" ref="D73" si="73">IF($A73="","",IF(C73=0,0,B73/C73))</f>
        <v/>
      </c>
      <c r="E73" s="69"/>
      <c r="F73" s="61"/>
      <c r="G73" s="70" t="str">
        <f t="shared" ref="G73" si="74">IF($A73="","",IF(F73=0,0,E73/F73))</f>
        <v/>
      </c>
      <c r="H73" s="69"/>
      <c r="I73" s="61"/>
      <c r="J73" s="70" t="str">
        <f t="shared" ref="J73" si="75">IF($A73="","",IF(I73=0,0,H73/I73))</f>
        <v/>
      </c>
      <c r="K73" s="74" t="str">
        <f t="shared" ref="K73" si="76">IF($A73="","",SUM(E73,H73))</f>
        <v/>
      </c>
      <c r="L73" s="62" t="str">
        <f t="shared" ref="L73" si="77">IF($A73="","",SUM(F73,I73))</f>
        <v/>
      </c>
      <c r="M73" s="70" t="str">
        <f t="shared" ref="M73" si="78">IF($A73="","",IF(L73=0,0,K73/L73))</f>
        <v/>
      </c>
      <c r="N73" s="69"/>
      <c r="O73" s="61"/>
      <c r="P73" s="70" t="str">
        <f t="shared" ref="P73" si="79">IF($A73="","",IF(O73=0,0,N73/O73))</f>
        <v/>
      </c>
      <c r="Q73" s="69"/>
      <c r="R73" s="61"/>
      <c r="S73" s="70" t="str">
        <f t="shared" ref="S73" si="80">IF($A73="","",IF(R73=0,0,Q73/R73))</f>
        <v/>
      </c>
      <c r="T73" s="69"/>
      <c r="U73" s="61"/>
      <c r="V73" s="70" t="str">
        <f t="shared" ref="V73" si="81">IF($A73="","",IF(U73=0,0,T73/U73))</f>
        <v/>
      </c>
      <c r="W73" s="74" t="str">
        <f t="shared" ref="W73" si="82">IF($A73="","",SUM(Q73,T73))</f>
        <v/>
      </c>
      <c r="X73" s="62" t="str">
        <f t="shared" ref="X73" si="83">IF($A73="","",SUM(R73,U73))</f>
        <v/>
      </c>
      <c r="Y73" s="70" t="str">
        <f t="shared" ref="Y73" si="84">IF($A73="","",IF(X73=0,0,W73/X73))</f>
        <v/>
      </c>
      <c r="Z73" s="69"/>
      <c r="AA73" s="61"/>
      <c r="AB73" s="70" t="str">
        <f t="shared" ref="AB73" si="85">IF($A73="","",IF(AA73=0,0,Z73/AA73))</f>
        <v/>
      </c>
      <c r="AC73" s="69"/>
      <c r="AD73" s="61"/>
      <c r="AE73" s="70" t="str">
        <f t="shared" ref="AE73" si="86">IF($A73="","",IF(AD73=0,0,AC73/AD73))</f>
        <v/>
      </c>
      <c r="AF73" s="69"/>
      <c r="AG73" s="61"/>
      <c r="AH73" s="70" t="str">
        <f t="shared" ref="AH73" si="87">IF($A73="","",IF(AG73=0,0,AF73/AG73))</f>
        <v/>
      </c>
      <c r="AI73" s="74" t="str">
        <f t="shared" ref="AI73" si="88">IF($A73="","",SUM(AC73,AF73))</f>
        <v/>
      </c>
      <c r="AJ73" s="62" t="str">
        <f t="shared" ref="AJ73" si="89">IF($A73="","",SUM(AD73,AG73))</f>
        <v/>
      </c>
      <c r="AK73" s="70" t="str">
        <f t="shared" ref="AK73" si="90">IF($A73="","",IF(AJ73=0,0,AI73/AJ73))</f>
        <v/>
      </c>
      <c r="AL73" s="69"/>
      <c r="AM73" s="61"/>
      <c r="AN73" s="70" t="str">
        <f t="shared" ref="AN73" si="91">IF($A73="","",IF(AM73=0,0,AL73/AM73))</f>
        <v/>
      </c>
    </row>
    <row r="74" spans="1:40" ht="18" customHeight="1">
      <c r="A74" s="77" t="str">
        <f>IF($C$9="Data Not Entered On Set-Up Worksheet","",IF(OR(VLOOKUP($C$9,County_Lookup_MC,25,FALSE)="",VLOOKUP($C$9,County_Lookup_MC,25,FALSE)=0),"",VLOOKUP($C$9,County_Lookup_MC,25,FALSE)))</f>
        <v/>
      </c>
      <c r="B74" s="69"/>
      <c r="C74" s="61"/>
      <c r="D74" s="70" t="str">
        <f t="shared" si="54"/>
        <v/>
      </c>
      <c r="E74" s="69"/>
      <c r="F74" s="61"/>
      <c r="G74" s="70" t="str">
        <f t="shared" si="55"/>
        <v/>
      </c>
      <c r="H74" s="69"/>
      <c r="I74" s="61"/>
      <c r="J74" s="70" t="str">
        <f t="shared" si="56"/>
        <v/>
      </c>
      <c r="K74" s="74" t="str">
        <f t="shared" si="57"/>
        <v/>
      </c>
      <c r="L74" s="62" t="str">
        <f t="shared" si="58"/>
        <v/>
      </c>
      <c r="M74" s="70" t="str">
        <f t="shared" si="59"/>
        <v/>
      </c>
      <c r="N74" s="69"/>
      <c r="O74" s="61"/>
      <c r="P74" s="70" t="str">
        <f t="shared" si="60"/>
        <v/>
      </c>
      <c r="Q74" s="69"/>
      <c r="R74" s="61"/>
      <c r="S74" s="70" t="str">
        <f t="shared" si="61"/>
        <v/>
      </c>
      <c r="T74" s="69"/>
      <c r="U74" s="61"/>
      <c r="V74" s="70" t="str">
        <f t="shared" si="62"/>
        <v/>
      </c>
      <c r="W74" s="74" t="str">
        <f t="shared" si="63"/>
        <v/>
      </c>
      <c r="X74" s="62" t="str">
        <f t="shared" si="64"/>
        <v/>
      </c>
      <c r="Y74" s="70" t="str">
        <f t="shared" si="65"/>
        <v/>
      </c>
      <c r="Z74" s="69"/>
      <c r="AA74" s="61"/>
      <c r="AB74" s="70" t="str">
        <f t="shared" si="66"/>
        <v/>
      </c>
      <c r="AC74" s="69"/>
      <c r="AD74" s="61"/>
      <c r="AE74" s="70" t="str">
        <f t="shared" si="67"/>
        <v/>
      </c>
      <c r="AF74" s="69"/>
      <c r="AG74" s="61"/>
      <c r="AH74" s="70" t="str">
        <f t="shared" si="68"/>
        <v/>
      </c>
      <c r="AI74" s="74" t="str">
        <f t="shared" si="69"/>
        <v/>
      </c>
      <c r="AJ74" s="62" t="str">
        <f t="shared" si="70"/>
        <v/>
      </c>
      <c r="AK74" s="70" t="str">
        <f t="shared" si="71"/>
        <v/>
      </c>
      <c r="AL74" s="69"/>
      <c r="AM74" s="61"/>
      <c r="AN74" s="70" t="str">
        <f t="shared" si="72"/>
        <v/>
      </c>
    </row>
    <row r="75" spans="1:40" ht="18" customHeight="1" thickBot="1">
      <c r="A75" s="78" t="s">
        <v>0</v>
      </c>
      <c r="B75" s="71">
        <f>SUM(B51:B74)</f>
        <v>0</v>
      </c>
      <c r="C75" s="72">
        <f>SUM(C51:C74)</f>
        <v>0</v>
      </c>
      <c r="D75" s="73">
        <f t="shared" ref="D75" si="92">IF(C75=0,0,B75/C75)</f>
        <v>0</v>
      </c>
      <c r="E75" s="71">
        <f>SUM(E51:E74)</f>
        <v>0</v>
      </c>
      <c r="F75" s="72">
        <f>SUM(F51:F74)</f>
        <v>0</v>
      </c>
      <c r="G75" s="73">
        <f t="shared" ref="G75" si="93">IF(F75=0,0,E75/F75)</f>
        <v>0</v>
      </c>
      <c r="H75" s="71">
        <f>SUM(H51:H74)</f>
        <v>0</v>
      </c>
      <c r="I75" s="72">
        <f>SUM(I51:I74)</f>
        <v>0</v>
      </c>
      <c r="J75" s="73">
        <f t="shared" ref="J75" si="94">IF(I75=0,0,H75/I75)</f>
        <v>0</v>
      </c>
      <c r="K75" s="71">
        <f>SUM(K51:K74)</f>
        <v>0</v>
      </c>
      <c r="L75" s="72">
        <f>SUM(L51:L74)</f>
        <v>0</v>
      </c>
      <c r="M75" s="73">
        <f t="shared" ref="M75" si="95">IF(L75=0,0,K75/L75)</f>
        <v>0</v>
      </c>
      <c r="N75" s="71">
        <f>SUM(N51:N74)</f>
        <v>0</v>
      </c>
      <c r="O75" s="72">
        <f>SUM(O51:O74)</f>
        <v>0</v>
      </c>
      <c r="P75" s="73">
        <f t="shared" ref="P75" si="96">IF(O75=0,0,N75/O75)</f>
        <v>0</v>
      </c>
      <c r="Q75" s="71">
        <f>SUM(Q51:Q74)</f>
        <v>0</v>
      </c>
      <c r="R75" s="72">
        <f>SUM(R51:R74)</f>
        <v>0</v>
      </c>
      <c r="S75" s="73">
        <f t="shared" ref="S75" si="97">IF(R75=0,0,Q75/R75)</f>
        <v>0</v>
      </c>
      <c r="T75" s="71">
        <f>SUM(T51:T74)</f>
        <v>0</v>
      </c>
      <c r="U75" s="72">
        <f>SUM(U51:U74)</f>
        <v>0</v>
      </c>
      <c r="V75" s="73">
        <f t="shared" ref="V75" si="98">IF(U75=0,0,T75/U75)</f>
        <v>0</v>
      </c>
      <c r="W75" s="71">
        <f>SUM(W51:W74)</f>
        <v>0</v>
      </c>
      <c r="X75" s="72">
        <f>SUM(X51:X74)</f>
        <v>0</v>
      </c>
      <c r="Y75" s="73">
        <f t="shared" ref="Y75" si="99">IF(X75=0,0,W75/X75)</f>
        <v>0</v>
      </c>
      <c r="Z75" s="71">
        <f>SUM(Z51:Z74)</f>
        <v>0</v>
      </c>
      <c r="AA75" s="72">
        <f>SUM(AA51:AA74)</f>
        <v>0</v>
      </c>
      <c r="AB75" s="73">
        <f t="shared" ref="AB75" si="100">IF(AA75=0,0,Z75/AA75)</f>
        <v>0</v>
      </c>
      <c r="AC75" s="71">
        <f>SUM(AC51:AC74)</f>
        <v>0</v>
      </c>
      <c r="AD75" s="72">
        <f>SUM(AD51:AD74)</f>
        <v>0</v>
      </c>
      <c r="AE75" s="73">
        <f t="shared" ref="AE75" si="101">IF(AD75=0,0,AC75/AD75)</f>
        <v>0</v>
      </c>
      <c r="AF75" s="71">
        <f>SUM(AF51:AF74)</f>
        <v>0</v>
      </c>
      <c r="AG75" s="72">
        <f>SUM(AG51:AG74)</f>
        <v>0</v>
      </c>
      <c r="AH75" s="73">
        <f t="shared" ref="AH75" si="102">IF(AG75=0,0,AF75/AG75)</f>
        <v>0</v>
      </c>
      <c r="AI75" s="71">
        <f>SUM(AI51:AI74)</f>
        <v>0</v>
      </c>
      <c r="AJ75" s="72">
        <f>SUM(AJ51:AJ74)</f>
        <v>0</v>
      </c>
      <c r="AK75" s="73">
        <f t="shared" ref="AK75" si="103">IF(AJ75=0,0,AI75/AJ75)</f>
        <v>0</v>
      </c>
      <c r="AL75" s="71">
        <f>SUM(AL51:AL74)</f>
        <v>0</v>
      </c>
      <c r="AM75" s="72">
        <f>SUM(AM51:AM74)</f>
        <v>0</v>
      </c>
      <c r="AN75" s="73">
        <f t="shared" ref="AN75" si="104">IF(AM75=0,0,AL75/AM75)</f>
        <v>0</v>
      </c>
    </row>
  </sheetData>
  <sheetProtection sheet="1" objects="1" scenarios="1"/>
  <conditionalFormatting sqref="C3:C4">
    <cfRule type="expression" dxfId="529" priority="82">
      <formula>C3="Data Not Entered On Set-Up Worksheet"</formula>
    </cfRule>
  </conditionalFormatting>
  <conditionalFormatting sqref="C9">
    <cfRule type="expression" dxfId="528" priority="81">
      <formula>C9="Data Not Entered On Set-Up Worksheet"</formula>
    </cfRule>
  </conditionalFormatting>
  <conditionalFormatting sqref="C12">
    <cfRule type="expression" dxfId="527" priority="80">
      <formula>C12="Data Not Entered On Set-Up Worksheet"</formula>
    </cfRule>
  </conditionalFormatting>
  <conditionalFormatting sqref="B19:C40 B42:C42">
    <cfRule type="expression" dxfId="526" priority="79">
      <formula>AND($A19&lt;&gt;"",B19="")</formula>
    </cfRule>
  </conditionalFormatting>
  <conditionalFormatting sqref="F3">
    <cfRule type="expression" dxfId="525" priority="78">
      <formula>F3="Data Not Entered On Set-Up Worksheet"</formula>
    </cfRule>
  </conditionalFormatting>
  <conditionalFormatting sqref="I3">
    <cfRule type="expression" dxfId="524" priority="76">
      <formula>I3="Data Not Entered On Set-Up Worksheet"</formula>
    </cfRule>
  </conditionalFormatting>
  <conditionalFormatting sqref="I9">
    <cfRule type="expression" dxfId="523" priority="75">
      <formula>I9="Data Not Entered On Set-Up Worksheet"</formula>
    </cfRule>
  </conditionalFormatting>
  <conditionalFormatting sqref="I11:I12">
    <cfRule type="expression" dxfId="522" priority="74">
      <formula>I11="Data Not Entered On Set-Up Worksheet"</formula>
    </cfRule>
  </conditionalFormatting>
  <conditionalFormatting sqref="L3">
    <cfRule type="expression" dxfId="521" priority="73">
      <formula>L3="Data Not Entered On Set-Up Worksheet"</formula>
    </cfRule>
  </conditionalFormatting>
  <conditionalFormatting sqref="L9">
    <cfRule type="expression" dxfId="520" priority="72">
      <formula>L9="Data Not Entered On Set-Up Worksheet"</formula>
    </cfRule>
  </conditionalFormatting>
  <conditionalFormatting sqref="L11:L12">
    <cfRule type="expression" dxfId="519" priority="71">
      <formula>L11="Data Not Entered On Set-Up Worksheet"</formula>
    </cfRule>
  </conditionalFormatting>
  <conditionalFormatting sqref="O3">
    <cfRule type="expression" dxfId="518" priority="70">
      <formula>O3="Data Not Entered On Set-Up Worksheet"</formula>
    </cfRule>
  </conditionalFormatting>
  <conditionalFormatting sqref="O9">
    <cfRule type="expression" dxfId="517" priority="69">
      <formula>O9="Data Not Entered On Set-Up Worksheet"</formula>
    </cfRule>
  </conditionalFormatting>
  <conditionalFormatting sqref="O11:O12">
    <cfRule type="expression" dxfId="516" priority="68">
      <formula>O11="Data Not Entered On Set-Up Worksheet"</formula>
    </cfRule>
  </conditionalFormatting>
  <conditionalFormatting sqref="R3">
    <cfRule type="expression" dxfId="515" priority="67">
      <formula>R3="Data Not Entered On Set-Up Worksheet"</formula>
    </cfRule>
  </conditionalFormatting>
  <conditionalFormatting sqref="R9">
    <cfRule type="expression" dxfId="514" priority="66">
      <formula>R9="Data Not Entered On Set-Up Worksheet"</formula>
    </cfRule>
  </conditionalFormatting>
  <conditionalFormatting sqref="R11:R12">
    <cfRule type="expression" dxfId="513" priority="65">
      <formula>R11="Data Not Entered On Set-Up Worksheet"</formula>
    </cfRule>
  </conditionalFormatting>
  <conditionalFormatting sqref="U3">
    <cfRule type="expression" dxfId="512" priority="64">
      <formula>U3="Data Not Entered On Set-Up Worksheet"</formula>
    </cfRule>
  </conditionalFormatting>
  <conditionalFormatting sqref="U9">
    <cfRule type="expression" dxfId="511" priority="63">
      <formula>U9="Data Not Entered On Set-Up Worksheet"</formula>
    </cfRule>
  </conditionalFormatting>
  <conditionalFormatting sqref="U11:U12">
    <cfRule type="expression" dxfId="510" priority="62">
      <formula>U11="Data Not Entered On Set-Up Worksheet"</formula>
    </cfRule>
  </conditionalFormatting>
  <conditionalFormatting sqref="AM3">
    <cfRule type="expression" dxfId="509" priority="61">
      <formula>AM3="Data Not Entered On Set-Up Worksheet"</formula>
    </cfRule>
  </conditionalFormatting>
  <conditionalFormatting sqref="AM9">
    <cfRule type="expression" dxfId="508" priority="60">
      <formula>AM9="Data Not Entered On Set-Up Worksheet"</formula>
    </cfRule>
  </conditionalFormatting>
  <conditionalFormatting sqref="AM11:AM12">
    <cfRule type="expression" dxfId="507" priority="59">
      <formula>AM11="Data Not Entered On Set-Up Worksheet"</formula>
    </cfRule>
  </conditionalFormatting>
  <conditionalFormatting sqref="E19:F40 E42:F42">
    <cfRule type="expression" dxfId="506" priority="58">
      <formula>AND($A19&lt;&gt;"",E19="")</formula>
    </cfRule>
  </conditionalFormatting>
  <conditionalFormatting sqref="H19:I40 H42:I42">
    <cfRule type="expression" dxfId="505" priority="57">
      <formula>AND($A19&lt;&gt;"",H19="")</formula>
    </cfRule>
  </conditionalFormatting>
  <conditionalFormatting sqref="N19:O40 N42:O42">
    <cfRule type="expression" dxfId="504" priority="55">
      <formula>AND($A19&lt;&gt;"",N19="")</formula>
    </cfRule>
  </conditionalFormatting>
  <conditionalFormatting sqref="Q19:R40 Q42:R42">
    <cfRule type="expression" dxfId="503" priority="54">
      <formula>AND($A19&lt;&gt;"",Q19="")</formula>
    </cfRule>
  </conditionalFormatting>
  <conditionalFormatting sqref="T19:U40 T42:U42">
    <cfRule type="expression" dxfId="502" priority="53">
      <formula>AND($A19&lt;&gt;"",T19="")</formula>
    </cfRule>
  </conditionalFormatting>
  <conditionalFormatting sqref="C11">
    <cfRule type="expression" dxfId="501" priority="52">
      <formula>C11="Data Not Entered On Set-Up Worksheet"</formula>
    </cfRule>
  </conditionalFormatting>
  <conditionalFormatting sqref="X3">
    <cfRule type="expression" dxfId="500" priority="51">
      <formula>X3="Data Not Entered On Set-Up Worksheet"</formula>
    </cfRule>
  </conditionalFormatting>
  <conditionalFormatting sqref="X9">
    <cfRule type="expression" dxfId="499" priority="50">
      <formula>X9="Data Not Entered On Set-Up Worksheet"</formula>
    </cfRule>
  </conditionalFormatting>
  <conditionalFormatting sqref="X11:X12">
    <cfRule type="expression" dxfId="498" priority="49">
      <formula>X11="Data Not Entered On Set-Up Worksheet"</formula>
    </cfRule>
  </conditionalFormatting>
  <conditionalFormatting sqref="AA3">
    <cfRule type="expression" dxfId="497" priority="48">
      <formula>AA3="Data Not Entered On Set-Up Worksheet"</formula>
    </cfRule>
  </conditionalFormatting>
  <conditionalFormatting sqref="AA9">
    <cfRule type="expression" dxfId="496" priority="47">
      <formula>AA9="Data Not Entered On Set-Up Worksheet"</formula>
    </cfRule>
  </conditionalFormatting>
  <conditionalFormatting sqref="AA11:AA12">
    <cfRule type="expression" dxfId="495" priority="46">
      <formula>AA11="Data Not Entered On Set-Up Worksheet"</formula>
    </cfRule>
  </conditionalFormatting>
  <conditionalFormatting sqref="AD3">
    <cfRule type="expression" dxfId="494" priority="45">
      <formula>AD3="Data Not Entered On Set-Up Worksheet"</formula>
    </cfRule>
  </conditionalFormatting>
  <conditionalFormatting sqref="AD9">
    <cfRule type="expression" dxfId="493" priority="44">
      <formula>AD9="Data Not Entered On Set-Up Worksheet"</formula>
    </cfRule>
  </conditionalFormatting>
  <conditionalFormatting sqref="AD11:AD12">
    <cfRule type="expression" dxfId="492" priority="43">
      <formula>AD11="Data Not Entered On Set-Up Worksheet"</formula>
    </cfRule>
  </conditionalFormatting>
  <conditionalFormatting sqref="AG3">
    <cfRule type="expression" dxfId="491" priority="42">
      <formula>AG3="Data Not Entered On Set-Up Worksheet"</formula>
    </cfRule>
  </conditionalFormatting>
  <conditionalFormatting sqref="AG9">
    <cfRule type="expression" dxfId="490" priority="41">
      <formula>AG9="Data Not Entered On Set-Up Worksheet"</formula>
    </cfRule>
  </conditionalFormatting>
  <conditionalFormatting sqref="AG11:AG12">
    <cfRule type="expression" dxfId="489" priority="40">
      <formula>AG11="Data Not Entered On Set-Up Worksheet"</formula>
    </cfRule>
  </conditionalFormatting>
  <conditionalFormatting sqref="Z19:AA40 Z42:AA42">
    <cfRule type="expression" dxfId="488" priority="39">
      <formula>AND($A19&lt;&gt;"",Z19="")</formula>
    </cfRule>
  </conditionalFormatting>
  <conditionalFormatting sqref="AC19:AD40 AC42:AD42">
    <cfRule type="expression" dxfId="487" priority="38">
      <formula>AND($A19&lt;&gt;"",AC19="")</formula>
    </cfRule>
  </conditionalFormatting>
  <conditionalFormatting sqref="AF19:AG40 AF42:AG42">
    <cfRule type="expression" dxfId="486" priority="37">
      <formula>AND($A19&lt;&gt;"",AF19="")</formula>
    </cfRule>
  </conditionalFormatting>
  <conditionalFormatting sqref="AJ3">
    <cfRule type="expression" dxfId="485" priority="36">
      <formula>AJ3="Data Not Entered On Set-Up Worksheet"</formula>
    </cfRule>
  </conditionalFormatting>
  <conditionalFormatting sqref="AJ9">
    <cfRule type="expression" dxfId="484" priority="35">
      <formula>AJ9="Data Not Entered On Set-Up Worksheet"</formula>
    </cfRule>
  </conditionalFormatting>
  <conditionalFormatting sqref="AJ11:AJ12">
    <cfRule type="expression" dxfId="483" priority="34">
      <formula>AJ11="Data Not Entered On Set-Up Worksheet"</formula>
    </cfRule>
  </conditionalFormatting>
  <conditionalFormatting sqref="B51:C72 B74:C74">
    <cfRule type="expression" dxfId="482" priority="33">
      <formula>AND($A51&lt;&gt;"",B51="")</formula>
    </cfRule>
  </conditionalFormatting>
  <conditionalFormatting sqref="E51:F72 E74:F74">
    <cfRule type="expression" dxfId="481" priority="32">
      <formula>AND($A51&lt;&gt;"",E51="")</formula>
    </cfRule>
  </conditionalFormatting>
  <conditionalFormatting sqref="H51:I72 H74:I74">
    <cfRule type="expression" dxfId="480" priority="31">
      <formula>AND($A51&lt;&gt;"",H51="")</formula>
    </cfRule>
  </conditionalFormatting>
  <conditionalFormatting sqref="N51:O72 N74:O74">
    <cfRule type="expression" dxfId="479" priority="30">
      <formula>AND($A51&lt;&gt;"",N51="")</formula>
    </cfRule>
  </conditionalFormatting>
  <conditionalFormatting sqref="Q51:R72 Q74:R74">
    <cfRule type="expression" dxfId="478" priority="29">
      <formula>AND($A51&lt;&gt;"",Q51="")</formula>
    </cfRule>
  </conditionalFormatting>
  <conditionalFormatting sqref="T51:U72 T74:U74">
    <cfRule type="expression" dxfId="477" priority="28">
      <formula>AND($A51&lt;&gt;"",T51="")</formula>
    </cfRule>
  </conditionalFormatting>
  <conditionalFormatting sqref="Z51:AA72 Z74:AA74">
    <cfRule type="expression" dxfId="476" priority="27">
      <formula>AND($A51&lt;&gt;"",Z51="")</formula>
    </cfRule>
  </conditionalFormatting>
  <conditionalFormatting sqref="AC51:AD72 AC74:AD74">
    <cfRule type="expression" dxfId="475" priority="26">
      <formula>AND($A51&lt;&gt;"",AC51="")</formula>
    </cfRule>
  </conditionalFormatting>
  <conditionalFormatting sqref="AF51:AG72 AF74:AG74">
    <cfRule type="expression" dxfId="474" priority="25">
      <formula>AND($A51&lt;&gt;"",AF51="")</formula>
    </cfRule>
  </conditionalFormatting>
  <conditionalFormatting sqref="F9:F10">
    <cfRule type="expression" dxfId="473" priority="24">
      <formula>F9="Data Not Entered On Set-Up Worksheet"</formula>
    </cfRule>
  </conditionalFormatting>
  <conditionalFormatting sqref="AL19:AM40 AL42:AM42">
    <cfRule type="expression" dxfId="472" priority="23">
      <formula>AND($A19&lt;&gt;"",AL19="")</formula>
    </cfRule>
  </conditionalFormatting>
  <conditionalFormatting sqref="AL51:AM72 AL74:AM74">
    <cfRule type="expression" dxfId="471" priority="22">
      <formula>AND($A51&lt;&gt;"",AL51="")</formula>
    </cfRule>
  </conditionalFormatting>
  <conditionalFormatting sqref="F11">
    <cfRule type="expression" dxfId="470" priority="21">
      <formula>F11="Data Not Entered On Set-Up Worksheet"</formula>
    </cfRule>
  </conditionalFormatting>
  <conditionalFormatting sqref="B41:C41">
    <cfRule type="expression" dxfId="469" priority="20">
      <formula>AND($A41&lt;&gt;"",B41="")</formula>
    </cfRule>
  </conditionalFormatting>
  <conditionalFormatting sqref="E41:F41">
    <cfRule type="expression" dxfId="468" priority="19">
      <formula>AND($A41&lt;&gt;"",E41="")</formula>
    </cfRule>
  </conditionalFormatting>
  <conditionalFormatting sqref="H41:I41">
    <cfRule type="expression" dxfId="467" priority="18">
      <formula>AND($A41&lt;&gt;"",H41="")</formula>
    </cfRule>
  </conditionalFormatting>
  <conditionalFormatting sqref="N41:O41">
    <cfRule type="expression" dxfId="466" priority="17">
      <formula>AND($A41&lt;&gt;"",N41="")</formula>
    </cfRule>
  </conditionalFormatting>
  <conditionalFormatting sqref="Q41:R41">
    <cfRule type="expression" dxfId="465" priority="16">
      <formula>AND($A41&lt;&gt;"",Q41="")</formula>
    </cfRule>
  </conditionalFormatting>
  <conditionalFormatting sqref="T41:U41">
    <cfRule type="expression" dxfId="464" priority="15">
      <formula>AND($A41&lt;&gt;"",T41="")</formula>
    </cfRule>
  </conditionalFormatting>
  <conditionalFormatting sqref="Z41:AA41">
    <cfRule type="expression" dxfId="463" priority="14">
      <formula>AND($A41&lt;&gt;"",Z41="")</formula>
    </cfRule>
  </conditionalFormatting>
  <conditionalFormatting sqref="AC41:AD41">
    <cfRule type="expression" dxfId="462" priority="13">
      <formula>AND($A41&lt;&gt;"",AC41="")</formula>
    </cfRule>
  </conditionalFormatting>
  <conditionalFormatting sqref="AF41:AG41">
    <cfRule type="expression" dxfId="461" priority="12">
      <formula>AND($A41&lt;&gt;"",AF41="")</formula>
    </cfRule>
  </conditionalFormatting>
  <conditionalFormatting sqref="AL41:AM41">
    <cfRule type="expression" dxfId="460" priority="11">
      <formula>AND($A41&lt;&gt;"",AL41="")</formula>
    </cfRule>
  </conditionalFormatting>
  <conditionalFormatting sqref="B73:C73">
    <cfRule type="expression" dxfId="459" priority="10">
      <formula>AND($A73&lt;&gt;"",B73="")</formula>
    </cfRule>
  </conditionalFormatting>
  <conditionalFormatting sqref="E73:F73">
    <cfRule type="expression" dxfId="458" priority="9">
      <formula>AND($A73&lt;&gt;"",E73="")</formula>
    </cfRule>
  </conditionalFormatting>
  <conditionalFormatting sqref="H73:I73">
    <cfRule type="expression" dxfId="457" priority="8">
      <formula>AND($A73&lt;&gt;"",H73="")</formula>
    </cfRule>
  </conditionalFormatting>
  <conditionalFormatting sqref="N73:O73">
    <cfRule type="expression" dxfId="456" priority="7">
      <formula>AND($A73&lt;&gt;"",N73="")</formula>
    </cfRule>
  </conditionalFormatting>
  <conditionalFormatting sqref="Q73:R73">
    <cfRule type="expression" dxfId="455" priority="6">
      <formula>AND($A73&lt;&gt;"",Q73="")</formula>
    </cfRule>
  </conditionalFormatting>
  <conditionalFormatting sqref="T73:U73">
    <cfRule type="expression" dxfId="454" priority="5">
      <formula>AND($A73&lt;&gt;"",T73="")</formula>
    </cfRule>
  </conditionalFormatting>
  <conditionalFormatting sqref="Z73:AA73">
    <cfRule type="expression" dxfId="453" priority="4">
      <formula>AND($A73&lt;&gt;"",Z73="")</formula>
    </cfRule>
  </conditionalFormatting>
  <conditionalFormatting sqref="AC73:AD73">
    <cfRule type="expression" dxfId="452" priority="3">
      <formula>AND($A73&lt;&gt;"",AC73="")</formula>
    </cfRule>
  </conditionalFormatting>
  <conditionalFormatting sqref="AF73:AG73">
    <cfRule type="expression" dxfId="451" priority="2">
      <formula>AND($A73&lt;&gt;"",AF73="")</formula>
    </cfRule>
  </conditionalFormatting>
  <conditionalFormatting sqref="AL73:AM73">
    <cfRule type="expression" dxfId="450" priority="1">
      <formula>AND($A73&lt;&gt;"",AL73="")</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44" max="16383" man="1"/>
  </rowBreaks>
  <colBreaks count="1" manualBreakCount="1">
    <brk id="13"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Z75"/>
  <sheetViews>
    <sheetView showGridLines="0" workbookViewId="0">
      <pane xSplit="1" ySplit="18" topLeftCell="B19" activePane="bottomRight" state="frozen"/>
      <selection activeCell="E7" sqref="E7:I7"/>
      <selection pane="topRight" activeCell="E7" sqref="E7:I7"/>
      <selection pane="bottomLeft" activeCell="E7" sqref="E7:I7"/>
      <selection pane="bottomRight" activeCell="B19" sqref="B19"/>
    </sheetView>
  </sheetViews>
  <sheetFormatPr defaultRowHeight="12.75"/>
  <cols>
    <col min="1" max="1" width="22.42578125" style="22" customWidth="1"/>
    <col min="2" max="37" width="17.7109375" style="22" customWidth="1"/>
    <col min="38" max="38" width="21.7109375" style="22" customWidth="1"/>
    <col min="39" max="39" width="17.7109375" style="22" customWidth="1"/>
    <col min="40" max="40" width="21.7109375" style="22" customWidth="1"/>
    <col min="41" max="41" width="8.85546875" style="22" bestFit="1" customWidth="1"/>
    <col min="42" max="16384" width="9.140625" style="22"/>
  </cols>
  <sheetData>
    <row r="1" spans="1:52" ht="15" customHeight="1">
      <c r="A1" s="36" t="s">
        <v>28</v>
      </c>
      <c r="N1" s="30" t="s">
        <v>332</v>
      </c>
      <c r="Z1" s="30" t="s">
        <v>332</v>
      </c>
      <c r="AL1" s="30" t="s">
        <v>332</v>
      </c>
    </row>
    <row r="2" spans="1:52" ht="15" customHeight="1">
      <c r="A2" s="36" t="s">
        <v>198</v>
      </c>
      <c r="N2" s="321" t="s">
        <v>333</v>
      </c>
      <c r="Z2" s="321" t="s">
        <v>333</v>
      </c>
      <c r="AL2" s="321" t="s">
        <v>333</v>
      </c>
    </row>
    <row r="3" spans="1:52" ht="15" customHeight="1">
      <c r="A3" s="30" t="s">
        <v>196</v>
      </c>
      <c r="C3" s="147">
        <f>IF('Set-Up Worksheet'!F3="","Data Not Entered On Set-Up Worksheet",'Set-Up Worksheet'!F3)</f>
        <v>2017</v>
      </c>
      <c r="F3" s="38"/>
      <c r="I3" s="38"/>
      <c r="L3" s="38"/>
      <c r="O3" s="147">
        <f t="shared" ref="O3:O11" si="0">C3</f>
        <v>2017</v>
      </c>
      <c r="R3" s="38"/>
      <c r="U3" s="38"/>
      <c r="X3" s="38"/>
      <c r="AA3" s="147">
        <f t="shared" ref="AA3:AA11" si="1">C3</f>
        <v>2017</v>
      </c>
      <c r="AD3" s="38"/>
      <c r="AG3" s="38"/>
      <c r="AJ3" s="38"/>
      <c r="AM3" s="147">
        <f t="shared" ref="AM3:AM11" si="2">C3</f>
        <v>2017</v>
      </c>
    </row>
    <row r="4" spans="1:52" ht="15" customHeight="1">
      <c r="A4" s="30" t="s">
        <v>197</v>
      </c>
      <c r="C4" s="147" t="str">
        <f>IF('Set-Up Worksheet'!F4="","Data Not Entered On Set-Up Worksheet",'Set-Up Worksheet'!F4)</f>
        <v>1st Quarter</v>
      </c>
      <c r="F4" s="32"/>
      <c r="I4" s="32"/>
      <c r="L4" s="32"/>
      <c r="O4" s="147" t="str">
        <f t="shared" si="0"/>
        <v>1st Quarter</v>
      </c>
      <c r="R4" s="32"/>
      <c r="U4" s="32"/>
      <c r="X4" s="32"/>
      <c r="AA4" s="147" t="str">
        <f t="shared" si="1"/>
        <v>1st Quarter</v>
      </c>
      <c r="AD4" s="32"/>
      <c r="AG4" s="32"/>
      <c r="AJ4" s="32"/>
      <c r="AM4" s="147" t="str">
        <f t="shared" si="2"/>
        <v>1st Quarter</v>
      </c>
    </row>
    <row r="5" spans="1:52" ht="15" customHeight="1">
      <c r="A5" s="30"/>
      <c r="C5" s="32"/>
      <c r="F5" s="32"/>
      <c r="I5" s="32"/>
      <c r="L5" s="32"/>
      <c r="O5" s="39"/>
      <c r="R5" s="32"/>
      <c r="U5" s="32"/>
      <c r="X5" s="32"/>
      <c r="AA5" s="39"/>
      <c r="AD5" s="32"/>
      <c r="AG5" s="32"/>
      <c r="AJ5" s="32"/>
      <c r="AM5" s="39"/>
    </row>
    <row r="6" spans="1:52" ht="15" customHeight="1">
      <c r="A6" s="30" t="s">
        <v>247</v>
      </c>
      <c r="C6" s="32"/>
      <c r="F6" s="32"/>
      <c r="I6" s="32"/>
      <c r="L6" s="32"/>
      <c r="N6" s="30"/>
      <c r="O6" s="39"/>
      <c r="R6" s="32"/>
      <c r="U6" s="32"/>
      <c r="X6" s="32"/>
      <c r="Z6" s="30"/>
      <c r="AA6" s="39"/>
      <c r="AD6" s="32"/>
      <c r="AG6" s="32"/>
      <c r="AJ6" s="32"/>
      <c r="AL6" s="30"/>
      <c r="AM6" s="39"/>
    </row>
    <row r="7" spans="1:52" ht="15" customHeight="1">
      <c r="A7" s="30" t="s">
        <v>387</v>
      </c>
      <c r="C7" s="32"/>
      <c r="F7" s="32"/>
      <c r="I7" s="32"/>
      <c r="L7" s="32"/>
      <c r="N7" s="321" t="s">
        <v>336</v>
      </c>
      <c r="O7" s="39"/>
      <c r="R7" s="32"/>
      <c r="U7" s="32"/>
      <c r="X7" s="32"/>
      <c r="Z7" s="321" t="s">
        <v>336</v>
      </c>
      <c r="AA7" s="39"/>
      <c r="AD7" s="32"/>
      <c r="AG7" s="32"/>
      <c r="AJ7" s="32"/>
      <c r="AL7" s="321" t="s">
        <v>336</v>
      </c>
      <c r="AM7" s="39"/>
    </row>
    <row r="8" spans="1:52" ht="15" customHeight="1">
      <c r="A8" s="30"/>
      <c r="C8" s="32"/>
      <c r="F8" s="32"/>
      <c r="I8" s="32"/>
      <c r="L8" s="32"/>
      <c r="O8" s="39"/>
      <c r="R8" s="32"/>
      <c r="U8" s="32"/>
      <c r="X8" s="32"/>
      <c r="AA8" s="39"/>
      <c r="AD8" s="32"/>
      <c r="AG8" s="32"/>
      <c r="AJ8" s="32"/>
      <c r="AM8" s="39"/>
      <c r="AR8" s="54"/>
      <c r="AS8" s="54"/>
      <c r="AT8" s="55"/>
      <c r="AU8" s="54"/>
      <c r="AV8" s="54"/>
      <c r="AW8" s="54"/>
      <c r="AX8" s="54"/>
      <c r="AY8" s="30"/>
      <c r="AZ8" s="35"/>
    </row>
    <row r="9" spans="1:52" ht="15" customHeight="1">
      <c r="A9" s="30" t="s">
        <v>29</v>
      </c>
      <c r="C9" s="39" t="str">
        <f>IF('Set-Up Worksheet'!E7="","Data Not Entered On Set-Up Worksheet",'Set-Up Worksheet'!E7)</f>
        <v>Data Not Entered On Set-Up Worksheet</v>
      </c>
      <c r="F9" s="79" t="s">
        <v>308</v>
      </c>
      <c r="I9" s="39"/>
      <c r="L9" s="39"/>
      <c r="O9" s="39" t="str">
        <f t="shared" si="0"/>
        <v>Data Not Entered On Set-Up Worksheet</v>
      </c>
      <c r="R9" s="39"/>
      <c r="U9" s="39"/>
      <c r="X9" s="39"/>
      <c r="AA9" s="39" t="str">
        <f t="shared" si="1"/>
        <v>Data Not Entered On Set-Up Worksheet</v>
      </c>
      <c r="AD9" s="39"/>
      <c r="AG9" s="39"/>
      <c r="AJ9" s="39"/>
      <c r="AM9" s="39" t="str">
        <f t="shared" si="2"/>
        <v>Data Not Entered On Set-Up Worksheet</v>
      </c>
    </row>
    <row r="10" spans="1:52" ht="15" customHeight="1">
      <c r="A10" s="30" t="s">
        <v>9</v>
      </c>
      <c r="C10" s="32" t="s">
        <v>10</v>
      </c>
      <c r="F10" s="79" t="s">
        <v>309</v>
      </c>
      <c r="I10" s="32"/>
      <c r="L10" s="32"/>
      <c r="O10" s="39" t="str">
        <f t="shared" si="0"/>
        <v>Behavioral Health</v>
      </c>
      <c r="R10" s="32"/>
      <c r="U10" s="32"/>
      <c r="X10" s="32"/>
      <c r="AA10" s="39" t="str">
        <f t="shared" si="1"/>
        <v>Behavioral Health</v>
      </c>
      <c r="AD10" s="32"/>
      <c r="AG10" s="32"/>
      <c r="AJ10" s="32"/>
      <c r="AM10" s="39" t="str">
        <f t="shared" si="2"/>
        <v>Behavioral Health</v>
      </c>
    </row>
    <row r="11" spans="1:52" ht="15" customHeight="1">
      <c r="A11" s="30" t="s">
        <v>199</v>
      </c>
      <c r="C11" s="40" t="str">
        <f>IF(C4="Data Not Entered On Set-Up Worksheet","Data Not Entered On Set-Up Worksheet",IF(C4="1st Quarter",'Report Schedule'!D19,IF(C4="2nd Quarter",'Report Schedule'!E19,IF(C4="3rd Quarter",'Report Schedule'!F19,IF(C4="4th Quarter",'Report Schedule'!G19,"")))))</f>
        <v>Apr - Jun 2016</v>
      </c>
      <c r="F11" s="79" t="s">
        <v>331</v>
      </c>
      <c r="I11" s="311"/>
      <c r="L11" s="311"/>
      <c r="O11" s="40" t="str">
        <f t="shared" si="0"/>
        <v>Apr - Jun 2016</v>
      </c>
      <c r="R11" s="40"/>
      <c r="U11" s="40"/>
      <c r="X11" s="40"/>
      <c r="AA11" s="40" t="str">
        <f t="shared" si="1"/>
        <v>Apr - Jun 2016</v>
      </c>
      <c r="AD11" s="40"/>
      <c r="AG11" s="40"/>
      <c r="AJ11" s="40"/>
      <c r="AM11" s="40" t="str">
        <f t="shared" si="2"/>
        <v>Apr - Jun 2016</v>
      </c>
    </row>
    <row r="12" spans="1:52" ht="15" customHeight="1">
      <c r="A12" s="30"/>
      <c r="C12" s="40"/>
      <c r="F12" s="79"/>
      <c r="I12" s="40"/>
      <c r="L12" s="40"/>
      <c r="O12" s="40"/>
      <c r="R12" s="40"/>
      <c r="U12" s="40"/>
      <c r="X12" s="40"/>
      <c r="AA12" s="40"/>
      <c r="AD12" s="40"/>
      <c r="AG12" s="40"/>
      <c r="AJ12" s="40"/>
      <c r="AM12" s="40"/>
    </row>
    <row r="13" spans="1:52" ht="20.100000000000001" customHeight="1">
      <c r="A13" s="312" t="s">
        <v>311</v>
      </c>
      <c r="B13" s="243" t="str">
        <f>"Measurement Period:  "&amp;$C$11</f>
        <v>Measurement Period:  Apr - Jun 2016</v>
      </c>
      <c r="C13" s="243"/>
      <c r="D13" s="243"/>
      <c r="E13" s="243"/>
      <c r="F13" s="243"/>
      <c r="G13" s="243"/>
      <c r="H13" s="243"/>
      <c r="I13" s="243"/>
      <c r="J13" s="243"/>
      <c r="K13" s="243"/>
      <c r="L13" s="243"/>
      <c r="M13" s="243"/>
      <c r="N13" s="243" t="str">
        <f>"Measurement Period:  "&amp;$C$11</f>
        <v>Measurement Period:  Apr - Jun 2016</v>
      </c>
      <c r="O13" s="243"/>
      <c r="P13" s="243"/>
      <c r="Q13" s="243"/>
      <c r="R13" s="243"/>
      <c r="S13" s="243"/>
      <c r="T13" s="243"/>
      <c r="U13" s="243"/>
      <c r="V13" s="243"/>
      <c r="W13" s="243"/>
      <c r="X13" s="243"/>
      <c r="Y13" s="243"/>
      <c r="Z13" s="243" t="str">
        <f>"Measurement Period:  "&amp;$C$11</f>
        <v>Measurement Period:  Apr - Jun 2016</v>
      </c>
      <c r="AA13" s="243"/>
      <c r="AB13" s="243"/>
      <c r="AC13" s="243"/>
      <c r="AD13" s="243"/>
      <c r="AE13" s="243"/>
      <c r="AF13" s="243"/>
      <c r="AG13" s="243"/>
      <c r="AH13" s="243"/>
      <c r="AI13" s="243"/>
      <c r="AJ13" s="243"/>
      <c r="AK13" s="243"/>
      <c r="AL13" s="243" t="str">
        <f>"Measurement Period:  "&amp;$C$11</f>
        <v>Measurement Period:  Apr - Jun 2016</v>
      </c>
      <c r="AM13" s="44"/>
      <c r="AN13" s="44"/>
    </row>
    <row r="14" spans="1:52" ht="13.5" thickBot="1"/>
    <row r="15" spans="1:52" ht="18" customHeight="1" thickBot="1">
      <c r="A15" s="226" t="s">
        <v>254</v>
      </c>
      <c r="B15" s="234" t="s">
        <v>251</v>
      </c>
      <c r="C15" s="235"/>
      <c r="D15" s="236"/>
      <c r="E15" s="63" t="s">
        <v>252</v>
      </c>
      <c r="F15" s="231"/>
      <c r="G15" s="231"/>
      <c r="H15" s="231"/>
      <c r="I15" s="231"/>
      <c r="J15" s="231"/>
      <c r="K15" s="231"/>
      <c r="L15" s="231"/>
      <c r="M15" s="232"/>
      <c r="N15" s="234" t="s">
        <v>256</v>
      </c>
      <c r="O15" s="235"/>
      <c r="P15" s="236"/>
      <c r="Q15" s="63" t="s">
        <v>257</v>
      </c>
      <c r="R15" s="231"/>
      <c r="S15" s="231"/>
      <c r="T15" s="231"/>
      <c r="U15" s="231"/>
      <c r="V15" s="231"/>
      <c r="W15" s="231"/>
      <c r="X15" s="231"/>
      <c r="Y15" s="232"/>
      <c r="Z15" s="234" t="s">
        <v>258</v>
      </c>
      <c r="AA15" s="235"/>
      <c r="AB15" s="236"/>
      <c r="AC15" s="63" t="s">
        <v>259</v>
      </c>
      <c r="AD15" s="231"/>
      <c r="AE15" s="231"/>
      <c r="AF15" s="231"/>
      <c r="AG15" s="231"/>
      <c r="AH15" s="231"/>
      <c r="AI15" s="231"/>
      <c r="AJ15" s="231"/>
      <c r="AK15" s="232"/>
      <c r="AL15" s="234" t="s">
        <v>263</v>
      </c>
      <c r="AM15" s="235"/>
      <c r="AN15" s="236"/>
    </row>
    <row r="16" spans="1:52" s="35" customFormat="1" ht="18" customHeight="1" thickBot="1">
      <c r="A16" s="233" t="s">
        <v>255</v>
      </c>
      <c r="B16" s="234" t="s">
        <v>249</v>
      </c>
      <c r="C16" s="237"/>
      <c r="D16" s="238"/>
      <c r="E16" s="63" t="s">
        <v>146</v>
      </c>
      <c r="F16" s="64"/>
      <c r="G16" s="65"/>
      <c r="H16" s="63" t="s">
        <v>297</v>
      </c>
      <c r="I16" s="64"/>
      <c r="J16" s="65"/>
      <c r="K16" s="63" t="s">
        <v>298</v>
      </c>
      <c r="L16" s="64"/>
      <c r="M16" s="65"/>
      <c r="N16" s="234" t="s">
        <v>249</v>
      </c>
      <c r="O16" s="237"/>
      <c r="P16" s="238"/>
      <c r="Q16" s="63" t="s">
        <v>146</v>
      </c>
      <c r="R16" s="64"/>
      <c r="S16" s="65"/>
      <c r="T16" s="63" t="s">
        <v>297</v>
      </c>
      <c r="U16" s="64"/>
      <c r="V16" s="65"/>
      <c r="W16" s="63" t="s">
        <v>298</v>
      </c>
      <c r="X16" s="64"/>
      <c r="Y16" s="65"/>
      <c r="Z16" s="234" t="s">
        <v>249</v>
      </c>
      <c r="AA16" s="237"/>
      <c r="AB16" s="238"/>
      <c r="AC16" s="63" t="s">
        <v>146</v>
      </c>
      <c r="AD16" s="64"/>
      <c r="AE16" s="65"/>
      <c r="AF16" s="63" t="s">
        <v>297</v>
      </c>
      <c r="AG16" s="64"/>
      <c r="AH16" s="65"/>
      <c r="AI16" s="63" t="s">
        <v>298</v>
      </c>
      <c r="AJ16" s="64"/>
      <c r="AK16" s="65"/>
      <c r="AL16" s="234" t="s">
        <v>299</v>
      </c>
      <c r="AM16" s="237"/>
      <c r="AN16" s="238"/>
    </row>
    <row r="17" spans="1:46" s="35" customFormat="1" ht="13.5" thickBot="1">
      <c r="A17" s="30"/>
      <c r="B17" s="56" t="s">
        <v>3</v>
      </c>
      <c r="C17" s="57" t="s">
        <v>4</v>
      </c>
      <c r="D17" s="58" t="s">
        <v>5</v>
      </c>
      <c r="E17" s="56" t="s">
        <v>3</v>
      </c>
      <c r="F17" s="57" t="s">
        <v>4</v>
      </c>
      <c r="G17" s="58" t="s">
        <v>5</v>
      </c>
      <c r="H17" s="56" t="s">
        <v>3</v>
      </c>
      <c r="I17" s="57" t="s">
        <v>4</v>
      </c>
      <c r="J17" s="58" t="s">
        <v>5</v>
      </c>
      <c r="K17" s="56" t="s">
        <v>3</v>
      </c>
      <c r="L17" s="57" t="s">
        <v>4</v>
      </c>
      <c r="M17" s="58" t="s">
        <v>5</v>
      </c>
      <c r="N17" s="56" t="s">
        <v>3</v>
      </c>
      <c r="O17" s="57" t="s">
        <v>4</v>
      </c>
      <c r="P17" s="58" t="s">
        <v>5</v>
      </c>
      <c r="Q17" s="56" t="s">
        <v>3</v>
      </c>
      <c r="R17" s="57" t="s">
        <v>4</v>
      </c>
      <c r="S17" s="58" t="s">
        <v>5</v>
      </c>
      <c r="T17" s="56" t="s">
        <v>3</v>
      </c>
      <c r="U17" s="57" t="s">
        <v>4</v>
      </c>
      <c r="V17" s="58" t="s">
        <v>5</v>
      </c>
      <c r="W17" s="56" t="s">
        <v>3</v>
      </c>
      <c r="X17" s="57" t="s">
        <v>4</v>
      </c>
      <c r="Y17" s="58" t="s">
        <v>5</v>
      </c>
      <c r="Z17" s="56" t="s">
        <v>3</v>
      </c>
      <c r="AA17" s="57" t="s">
        <v>4</v>
      </c>
      <c r="AB17" s="58" t="s">
        <v>5</v>
      </c>
      <c r="AC17" s="56" t="s">
        <v>3</v>
      </c>
      <c r="AD17" s="57" t="s">
        <v>4</v>
      </c>
      <c r="AE17" s="58" t="s">
        <v>5</v>
      </c>
      <c r="AF17" s="56" t="s">
        <v>3</v>
      </c>
      <c r="AG17" s="57" t="s">
        <v>4</v>
      </c>
      <c r="AH17" s="58" t="s">
        <v>5</v>
      </c>
      <c r="AI17" s="56" t="s">
        <v>3</v>
      </c>
      <c r="AJ17" s="57" t="s">
        <v>4</v>
      </c>
      <c r="AK17" s="58" t="s">
        <v>5</v>
      </c>
      <c r="AL17" s="56" t="s">
        <v>3</v>
      </c>
      <c r="AM17" s="57" t="s">
        <v>4</v>
      </c>
      <c r="AN17" s="58" t="s">
        <v>5</v>
      </c>
      <c r="AO17" s="33"/>
      <c r="AP17" s="30"/>
      <c r="AQ17" s="30"/>
      <c r="AR17" s="30"/>
      <c r="AS17" s="30"/>
      <c r="AT17" s="30"/>
    </row>
    <row r="18" spans="1:46" ht="39.950000000000003" customHeight="1">
      <c r="A18" s="75" t="s">
        <v>43</v>
      </c>
      <c r="B18" s="239" t="s">
        <v>434</v>
      </c>
      <c r="C18" s="240" t="s">
        <v>267</v>
      </c>
      <c r="D18" s="241" t="s">
        <v>435</v>
      </c>
      <c r="E18" s="66" t="s">
        <v>434</v>
      </c>
      <c r="F18" s="67" t="s">
        <v>267</v>
      </c>
      <c r="G18" s="68" t="s">
        <v>435</v>
      </c>
      <c r="H18" s="66" t="s">
        <v>434</v>
      </c>
      <c r="I18" s="67" t="s">
        <v>267</v>
      </c>
      <c r="J18" s="68" t="s">
        <v>435</v>
      </c>
      <c r="K18" s="66" t="s">
        <v>434</v>
      </c>
      <c r="L18" s="67" t="s">
        <v>267</v>
      </c>
      <c r="M18" s="68" t="s">
        <v>435</v>
      </c>
      <c r="N18" s="239" t="s">
        <v>434</v>
      </c>
      <c r="O18" s="240" t="s">
        <v>267</v>
      </c>
      <c r="P18" s="241" t="s">
        <v>435</v>
      </c>
      <c r="Q18" s="66" t="s">
        <v>434</v>
      </c>
      <c r="R18" s="67" t="s">
        <v>267</v>
      </c>
      <c r="S18" s="68" t="s">
        <v>435</v>
      </c>
      <c r="T18" s="66" t="s">
        <v>434</v>
      </c>
      <c r="U18" s="67" t="s">
        <v>267</v>
      </c>
      <c r="V18" s="68" t="s">
        <v>435</v>
      </c>
      <c r="W18" s="66" t="s">
        <v>434</v>
      </c>
      <c r="X18" s="67" t="s">
        <v>267</v>
      </c>
      <c r="Y18" s="68" t="s">
        <v>435</v>
      </c>
      <c r="Z18" s="239" t="s">
        <v>434</v>
      </c>
      <c r="AA18" s="240" t="s">
        <v>267</v>
      </c>
      <c r="AB18" s="241" t="s">
        <v>435</v>
      </c>
      <c r="AC18" s="66" t="s">
        <v>434</v>
      </c>
      <c r="AD18" s="67" t="s">
        <v>267</v>
      </c>
      <c r="AE18" s="68" t="s">
        <v>435</v>
      </c>
      <c r="AF18" s="66" t="s">
        <v>434</v>
      </c>
      <c r="AG18" s="67" t="s">
        <v>267</v>
      </c>
      <c r="AH18" s="68" t="s">
        <v>435</v>
      </c>
      <c r="AI18" s="66" t="s">
        <v>434</v>
      </c>
      <c r="AJ18" s="67" t="s">
        <v>267</v>
      </c>
      <c r="AK18" s="68" t="s">
        <v>435</v>
      </c>
      <c r="AL18" s="239" t="s">
        <v>260</v>
      </c>
      <c r="AM18" s="240" t="s">
        <v>267</v>
      </c>
      <c r="AN18" s="241" t="s">
        <v>261</v>
      </c>
    </row>
    <row r="19" spans="1:46" ht="18" customHeight="1">
      <c r="A19" s="76" t="str">
        <f>IF($C$9="Data Not Entered On Set-Up Worksheet","",IF(OR(VLOOKUP($C$9,County_Lookup,2,FALSE)="",VLOOKUP($C$9,County_Lookup,2,FALSE)=0),"",VLOOKUP($C$9,County_Lookup,2,FALSE)))</f>
        <v/>
      </c>
      <c r="B19" s="69"/>
      <c r="C19" s="62" t="str">
        <f t="shared" ref="C19:C42" si="3">IF(OR($A19="",$A19="Other"),"",IF(OR(AND($C$3=2016,$C$4&lt;&gt;"1st Quarter"),AND($C$3=2017,$C$4="1st Quarter")),VLOOKUP($A19,Uninsured_SFY2016,15,FALSE),IF(OR(AND($C$3=2017,$C$4&lt;&gt;"1st Quarter"),AND($C$3=2018,$C$4="1st Quarter")),VLOOKUP($A19,Uninsured_SFY2017,15,FALSE),"Update Lookup")))</f>
        <v/>
      </c>
      <c r="D19" s="70" t="str">
        <f>IF(OR($A19="",$A19="Other"),"",IF(C19=0,0,B19/C19))</f>
        <v/>
      </c>
      <c r="E19" s="69"/>
      <c r="F19" s="62" t="str">
        <f t="shared" ref="F19:F42" si="4">IF(OR($A19="",$A19="Other"),"",IF(OR(AND($C$3=2016,$C$4&lt;&gt;"1st Quarter"),AND($C$3=2017,$C$4="1st Quarter")),VLOOKUP($A19,Uninsured_SFY2016,16,FALSE),IF(OR(AND($C$3=2017,$C$4&lt;&gt;"1st Quarter"),AND($C$3=2018,$C$4="1st Quarter")),VLOOKUP($A19,Uninsured_SFY2017,16,FALSE),"Update Lookup")))</f>
        <v/>
      </c>
      <c r="G19" s="70" t="str">
        <f>IF(OR($A19="",$A19="Other"),"",IF(F19=0,0,E19/F19))</f>
        <v/>
      </c>
      <c r="H19" s="69"/>
      <c r="I19" s="62" t="str">
        <f t="shared" ref="I19:I42" si="5">IF(OR($A19="",$A19="Other"),"",IF(OR(AND($C$3=2016,$C$4&lt;&gt;"1st Quarter"),AND($C$3=2017,$C$4="1st Quarter")),VLOOKUP($A19,Uninsured_SFY2016,17,FALSE),IF(OR(AND($C$3=2017,$C$4&lt;&gt;"1st Quarter"),AND($C$3=2018,$C$4="1st Quarter")),VLOOKUP($A19,Uninsured_SFY2017,17,FALSE),"Update Lookup")))</f>
        <v/>
      </c>
      <c r="J19" s="70" t="str">
        <f>IF(OR($A19="",$A19="Other"),"",IF(I19=0,0,H19/I19))</f>
        <v/>
      </c>
      <c r="K19" s="74" t="str">
        <f>IF($A19="","",SUM(E19,H19))</f>
        <v/>
      </c>
      <c r="L19" s="62" t="str">
        <f>IF(OR($A19="",$A19="Other"),"",SUM(F19,I19))</f>
        <v/>
      </c>
      <c r="M19" s="70" t="str">
        <f t="shared" ref="M19:M42" si="6">IF(OR($A19="",$A19="Other"),"",IF(L19=0,0,K19/L19))</f>
        <v/>
      </c>
      <c r="N19" s="69"/>
      <c r="O19" s="62" t="str">
        <f t="shared" ref="O19:O42" si="7">IF(OR($A19="",$A19="Other"),"",IF(OR(AND($C$3=2016,$C$4&lt;&gt;"1st Quarter"),AND($C$3=2017,$C$4="1st Quarter")),VLOOKUP($A19,Uninsured_SFY2016,15,FALSE),IF(OR(AND($C$3=2017,$C$4&lt;&gt;"1st Quarter"),AND($C$3=2018,$C$4="1st Quarter")),VLOOKUP($A19,Uninsured_SFY2017,15,FALSE),"Update Lookup")))</f>
        <v/>
      </c>
      <c r="P19" s="70" t="str">
        <f t="shared" ref="P19:P42" si="8">IF(OR($A19="",$A19="Other"),"",IF(O19=0,0,N19/O19))</f>
        <v/>
      </c>
      <c r="Q19" s="69"/>
      <c r="R19" s="62" t="str">
        <f t="shared" ref="R19:R42" si="9">IF(OR($A19="",$A19="Other"),"",IF(OR(AND($C$3=2016,$C$4&lt;&gt;"1st Quarter"),AND($C$3=2017,$C$4="1st Quarter")),VLOOKUP($A19,Uninsured_SFY2016,16,FALSE),IF(OR(AND($C$3=2017,$C$4&lt;&gt;"1st Quarter"),AND($C$3=2018,$C$4="1st Quarter")),VLOOKUP($A19,Uninsured_SFY2017,16,FALSE),"Update Lookup")))</f>
        <v/>
      </c>
      <c r="S19" s="70" t="str">
        <f t="shared" ref="S19:S42" si="10">IF(OR($A19="",$A19="Other"),"",IF(R19=0,0,Q19/R19))</f>
        <v/>
      </c>
      <c r="T19" s="69"/>
      <c r="U19" s="62" t="str">
        <f t="shared" ref="U19:U42" si="11">IF(OR($A19="",$A19="Other"),"",IF(OR(AND($C$3=2016,$C$4&lt;&gt;"1st Quarter"),AND($C$3=2017,$C$4="1st Quarter")),VLOOKUP($A19,Uninsured_SFY2016,17,FALSE),IF(OR(AND($C$3=2017,$C$4&lt;&gt;"1st Quarter"),AND($C$3=2018,$C$4="1st Quarter")),VLOOKUP($A19,Uninsured_SFY2017,17,FALSE),"Update Lookup")))</f>
        <v/>
      </c>
      <c r="V19" s="70" t="str">
        <f t="shared" ref="V19:V42" si="12">IF(OR($A19="",$A19="Other"),"",IF(U19=0,0,T19/U19))</f>
        <v/>
      </c>
      <c r="W19" s="74" t="str">
        <f>IF($A19="","",SUM(Q19,T19))</f>
        <v/>
      </c>
      <c r="X19" s="62" t="str">
        <f>IF(OR($A19="",$A19="Other"),"",SUM(R19,U19))</f>
        <v/>
      </c>
      <c r="Y19" s="70" t="str">
        <f t="shared" ref="Y19:Y42" si="13">IF(OR($A19="",$A19="Other"),"",IF(X19=0,0,W19/X19))</f>
        <v/>
      </c>
      <c r="Z19" s="69"/>
      <c r="AA19" s="62" t="str">
        <f t="shared" ref="AA19:AA42" si="14">IF(OR($A19="",$A19="Other"),"",IF(OR(AND($C$3=2016,$C$4&lt;&gt;"1st Quarter"),AND($C$3=2017,$C$4="1st Quarter")),VLOOKUP($A19,Uninsured_SFY2016,15,FALSE),IF(OR(AND($C$3=2017,$C$4&lt;&gt;"1st Quarter"),AND($C$3=2018,$C$4="1st Quarter")),VLOOKUP($A19,Uninsured_SFY2017,15,FALSE),"Update Lookup")))</f>
        <v/>
      </c>
      <c r="AB19" s="70" t="str">
        <f t="shared" ref="AB19:AB42" si="15">IF(OR($A19="",$A19="Other"),"",IF(AA19=0,0,Z19/AA19))</f>
        <v/>
      </c>
      <c r="AC19" s="69"/>
      <c r="AD19" s="62" t="str">
        <f t="shared" ref="AD19:AD42" si="16">IF(OR($A19="",$A19="Other"),"",IF(OR(AND($C$3=2016,$C$4&lt;&gt;"1st Quarter"),AND($C$3=2017,$C$4="1st Quarter")),VLOOKUP($A19,Uninsured_SFY2016,16,FALSE),IF(OR(AND($C$3=2017,$C$4&lt;&gt;"1st Quarter"),AND($C$3=2018,$C$4="1st Quarter")),VLOOKUP($A19,Uninsured_SFY2017,16,FALSE),"Update Lookup")))</f>
        <v/>
      </c>
      <c r="AE19" s="70" t="str">
        <f t="shared" ref="AE19:AE42" si="17">IF(OR($A19="",$A19="Other"),"",IF(AD19=0,0,AC19/AD19))</f>
        <v/>
      </c>
      <c r="AF19" s="69"/>
      <c r="AG19" s="62" t="str">
        <f t="shared" ref="AG19:AG42" si="18">IF(OR($A19="",$A19="Other"),"",IF(OR(AND($C$3=2016,$C$4&lt;&gt;"1st Quarter"),AND($C$3=2017,$C$4="1st Quarter")),VLOOKUP($A19,Uninsured_SFY2016,17,FALSE),IF(OR(AND($C$3=2017,$C$4&lt;&gt;"1st Quarter"),AND($C$3=2018,$C$4="1st Quarter")),VLOOKUP($A19,Uninsured_SFY2017,17,FALSE),"Update Lookup")))</f>
        <v/>
      </c>
      <c r="AH19" s="70" t="str">
        <f t="shared" ref="AH19:AH42" si="19">IF(OR($A19="",$A19="Other"),"",IF(AG19=0,0,AF19/AG19))</f>
        <v/>
      </c>
      <c r="AI19" s="74" t="str">
        <f>IF($A19="","",SUM(AC19,AF19))</f>
        <v/>
      </c>
      <c r="AJ19" s="62" t="str">
        <f t="shared" ref="AJ19:AJ42" si="20">IF(OR($A19="",$A19="Other"),"",SUM(AD19,AG19))</f>
        <v/>
      </c>
      <c r="AK19" s="70" t="str">
        <f t="shared" ref="AK19:AK42" si="21">IF(OR($A19="",$A19="Other"),"",IF(AJ19=0,0,AI19/AJ19))</f>
        <v/>
      </c>
      <c r="AL19" s="69"/>
      <c r="AM19" s="62" t="str">
        <f t="shared" ref="AM19:AM42" si="22">IF(OR($A19="",$A19="Other"),"",IF(OR(AND($C$3=2016,$C$4&lt;&gt;"1st Quarter"),AND($C$3=2017,$C$4="1st Quarter")),VLOOKUP($A19,Uninsured_SFY2016,19,FALSE),IF(OR(AND($C$3=2017,$C$4&lt;&gt;"1st Quarter"),AND($C$3=2018,$C$4="1st Quarter")),VLOOKUP($A19,Uninsured_SFY2017,19,FALSE),"Update Lookup")))</f>
        <v/>
      </c>
      <c r="AN19" s="70" t="str">
        <f t="shared" ref="AN19:AN42" si="23">IF(OR($A19="",$A19="Other"),"",IF(AM19=0,0,AL19/AM19))</f>
        <v/>
      </c>
    </row>
    <row r="20" spans="1:46" ht="18" customHeight="1">
      <c r="A20" s="77" t="str">
        <f>IF($C$9="Data Not Entered On Set-Up Worksheet","",IF(OR(VLOOKUP($C$9,County_Lookup,3,FALSE)="",VLOOKUP($C$9,County_Lookup,3,FALSE)=0),"",VLOOKUP($C$9,County_Lookup,3,FALSE)))</f>
        <v/>
      </c>
      <c r="B20" s="69"/>
      <c r="C20" s="62" t="str">
        <f t="shared" si="3"/>
        <v/>
      </c>
      <c r="D20" s="70" t="str">
        <f t="shared" ref="D20:D42" si="24">IF(OR($A20="",$A20="Other"),"",IF(C20=0,0,B20/C20))</f>
        <v/>
      </c>
      <c r="E20" s="69"/>
      <c r="F20" s="62" t="str">
        <f t="shared" si="4"/>
        <v/>
      </c>
      <c r="G20" s="70" t="str">
        <f t="shared" ref="G20:G42" si="25">IF(OR($A20="",$A20="Other"),"",IF(F20=0,0,E20/F20))</f>
        <v/>
      </c>
      <c r="H20" s="69"/>
      <c r="I20" s="62" t="str">
        <f t="shared" si="5"/>
        <v/>
      </c>
      <c r="J20" s="70" t="str">
        <f t="shared" ref="J20:J42" si="26">IF(OR($A20="",$A20="Other"),"",IF(I20=0,0,H20/I20))</f>
        <v/>
      </c>
      <c r="K20" s="74" t="str">
        <f t="shared" ref="K20:K42" si="27">IF($A20="","",SUM(E20,H20))</f>
        <v/>
      </c>
      <c r="L20" s="62" t="str">
        <f t="shared" ref="L20:L42" si="28">IF(OR($A20="",$A20="Other"),"",SUM(F20,I20))</f>
        <v/>
      </c>
      <c r="M20" s="70" t="str">
        <f t="shared" si="6"/>
        <v/>
      </c>
      <c r="N20" s="69"/>
      <c r="O20" s="62" t="str">
        <f t="shared" si="7"/>
        <v/>
      </c>
      <c r="P20" s="70" t="str">
        <f t="shared" si="8"/>
        <v/>
      </c>
      <c r="Q20" s="69"/>
      <c r="R20" s="62" t="str">
        <f t="shared" si="9"/>
        <v/>
      </c>
      <c r="S20" s="70" t="str">
        <f t="shared" si="10"/>
        <v/>
      </c>
      <c r="T20" s="69"/>
      <c r="U20" s="62" t="str">
        <f t="shared" si="11"/>
        <v/>
      </c>
      <c r="V20" s="70" t="str">
        <f t="shared" si="12"/>
        <v/>
      </c>
      <c r="W20" s="74" t="str">
        <f t="shared" ref="W20:W42" si="29">IF($A20="","",SUM(Q20,T20))</f>
        <v/>
      </c>
      <c r="X20" s="62" t="str">
        <f t="shared" ref="X20:X42" si="30">IF(OR($A20="",$A20="Other"),"",SUM(R20,U20))</f>
        <v/>
      </c>
      <c r="Y20" s="70" t="str">
        <f t="shared" si="13"/>
        <v/>
      </c>
      <c r="Z20" s="69"/>
      <c r="AA20" s="62" t="str">
        <f t="shared" si="14"/>
        <v/>
      </c>
      <c r="AB20" s="70" t="str">
        <f t="shared" si="15"/>
        <v/>
      </c>
      <c r="AC20" s="69"/>
      <c r="AD20" s="62" t="str">
        <f t="shared" si="16"/>
        <v/>
      </c>
      <c r="AE20" s="70" t="str">
        <f t="shared" si="17"/>
        <v/>
      </c>
      <c r="AF20" s="69"/>
      <c r="AG20" s="62" t="str">
        <f t="shared" si="18"/>
        <v/>
      </c>
      <c r="AH20" s="70" t="str">
        <f t="shared" si="19"/>
        <v/>
      </c>
      <c r="AI20" s="74" t="str">
        <f t="shared" ref="AI20:AI42" si="31">IF($A20="","",SUM(AC20,AF20))</f>
        <v/>
      </c>
      <c r="AJ20" s="62" t="str">
        <f t="shared" si="20"/>
        <v/>
      </c>
      <c r="AK20" s="70" t="str">
        <f t="shared" si="21"/>
        <v/>
      </c>
      <c r="AL20" s="69"/>
      <c r="AM20" s="62" t="str">
        <f t="shared" si="22"/>
        <v/>
      </c>
      <c r="AN20" s="70" t="str">
        <f t="shared" si="23"/>
        <v/>
      </c>
    </row>
    <row r="21" spans="1:46" ht="18" customHeight="1">
      <c r="A21" s="77" t="str">
        <f>IF($C$9="Data Not Entered On Set-Up Worksheet","",IF(OR(VLOOKUP($C$9,County_Lookup,4,FALSE)="",VLOOKUP($C$9,County_Lookup,4,FALSE)=0),"",VLOOKUP($C$9,County_Lookup,4,FALSE)))</f>
        <v/>
      </c>
      <c r="B21" s="69"/>
      <c r="C21" s="62" t="str">
        <f t="shared" si="3"/>
        <v/>
      </c>
      <c r="D21" s="70" t="str">
        <f t="shared" si="24"/>
        <v/>
      </c>
      <c r="E21" s="69"/>
      <c r="F21" s="62" t="str">
        <f t="shared" si="4"/>
        <v/>
      </c>
      <c r="G21" s="70" t="str">
        <f t="shared" si="25"/>
        <v/>
      </c>
      <c r="H21" s="69"/>
      <c r="I21" s="62" t="str">
        <f t="shared" si="5"/>
        <v/>
      </c>
      <c r="J21" s="70" t="str">
        <f t="shared" si="26"/>
        <v/>
      </c>
      <c r="K21" s="74" t="str">
        <f t="shared" si="27"/>
        <v/>
      </c>
      <c r="L21" s="62" t="str">
        <f t="shared" si="28"/>
        <v/>
      </c>
      <c r="M21" s="70" t="str">
        <f t="shared" si="6"/>
        <v/>
      </c>
      <c r="N21" s="69"/>
      <c r="O21" s="62" t="str">
        <f t="shared" si="7"/>
        <v/>
      </c>
      <c r="P21" s="70" t="str">
        <f t="shared" si="8"/>
        <v/>
      </c>
      <c r="Q21" s="69"/>
      <c r="R21" s="62" t="str">
        <f t="shared" si="9"/>
        <v/>
      </c>
      <c r="S21" s="70" t="str">
        <f t="shared" si="10"/>
        <v/>
      </c>
      <c r="T21" s="69"/>
      <c r="U21" s="62" t="str">
        <f t="shared" si="11"/>
        <v/>
      </c>
      <c r="V21" s="70" t="str">
        <f t="shared" si="12"/>
        <v/>
      </c>
      <c r="W21" s="74" t="str">
        <f t="shared" si="29"/>
        <v/>
      </c>
      <c r="X21" s="62" t="str">
        <f t="shared" si="30"/>
        <v/>
      </c>
      <c r="Y21" s="70" t="str">
        <f t="shared" si="13"/>
        <v/>
      </c>
      <c r="Z21" s="69"/>
      <c r="AA21" s="62" t="str">
        <f t="shared" si="14"/>
        <v/>
      </c>
      <c r="AB21" s="70" t="str">
        <f t="shared" si="15"/>
        <v/>
      </c>
      <c r="AC21" s="69"/>
      <c r="AD21" s="62" t="str">
        <f t="shared" si="16"/>
        <v/>
      </c>
      <c r="AE21" s="70" t="str">
        <f t="shared" si="17"/>
        <v/>
      </c>
      <c r="AF21" s="69"/>
      <c r="AG21" s="62" t="str">
        <f t="shared" si="18"/>
        <v/>
      </c>
      <c r="AH21" s="70" t="str">
        <f t="shared" si="19"/>
        <v/>
      </c>
      <c r="AI21" s="74" t="str">
        <f t="shared" si="31"/>
        <v/>
      </c>
      <c r="AJ21" s="62" t="str">
        <f t="shared" si="20"/>
        <v/>
      </c>
      <c r="AK21" s="70" t="str">
        <f t="shared" si="21"/>
        <v/>
      </c>
      <c r="AL21" s="69"/>
      <c r="AM21" s="62" t="str">
        <f t="shared" si="22"/>
        <v/>
      </c>
      <c r="AN21" s="70" t="str">
        <f t="shared" si="23"/>
        <v/>
      </c>
    </row>
    <row r="22" spans="1:46" ht="18" customHeight="1">
      <c r="A22" s="77" t="str">
        <f>IF($C$9="Data Not Entered On Set-Up Worksheet","",IF(OR(VLOOKUP($C$9,County_Lookup,5,FALSE)="",VLOOKUP($C$9,County_Lookup,5,FALSE)=0),"",VLOOKUP($C$9,County_Lookup,5,FALSE)))</f>
        <v/>
      </c>
      <c r="B22" s="69"/>
      <c r="C22" s="62" t="str">
        <f t="shared" si="3"/>
        <v/>
      </c>
      <c r="D22" s="70" t="str">
        <f t="shared" si="24"/>
        <v/>
      </c>
      <c r="E22" s="69"/>
      <c r="F22" s="62" t="str">
        <f t="shared" si="4"/>
        <v/>
      </c>
      <c r="G22" s="70" t="str">
        <f t="shared" si="25"/>
        <v/>
      </c>
      <c r="H22" s="69"/>
      <c r="I22" s="62" t="str">
        <f t="shared" si="5"/>
        <v/>
      </c>
      <c r="J22" s="70" t="str">
        <f t="shared" si="26"/>
        <v/>
      </c>
      <c r="K22" s="74" t="str">
        <f t="shared" si="27"/>
        <v/>
      </c>
      <c r="L22" s="62" t="str">
        <f t="shared" si="28"/>
        <v/>
      </c>
      <c r="M22" s="70" t="str">
        <f t="shared" si="6"/>
        <v/>
      </c>
      <c r="N22" s="69"/>
      <c r="O22" s="62" t="str">
        <f t="shared" si="7"/>
        <v/>
      </c>
      <c r="P22" s="70" t="str">
        <f t="shared" si="8"/>
        <v/>
      </c>
      <c r="Q22" s="69"/>
      <c r="R22" s="62" t="str">
        <f t="shared" si="9"/>
        <v/>
      </c>
      <c r="S22" s="70" t="str">
        <f t="shared" si="10"/>
        <v/>
      </c>
      <c r="T22" s="69"/>
      <c r="U22" s="62" t="str">
        <f t="shared" si="11"/>
        <v/>
      </c>
      <c r="V22" s="70" t="str">
        <f t="shared" si="12"/>
        <v/>
      </c>
      <c r="W22" s="74" t="str">
        <f t="shared" si="29"/>
        <v/>
      </c>
      <c r="X22" s="62" t="str">
        <f t="shared" si="30"/>
        <v/>
      </c>
      <c r="Y22" s="70" t="str">
        <f t="shared" si="13"/>
        <v/>
      </c>
      <c r="Z22" s="69"/>
      <c r="AA22" s="62" t="str">
        <f t="shared" si="14"/>
        <v/>
      </c>
      <c r="AB22" s="70" t="str">
        <f t="shared" si="15"/>
        <v/>
      </c>
      <c r="AC22" s="69"/>
      <c r="AD22" s="62" t="str">
        <f t="shared" si="16"/>
        <v/>
      </c>
      <c r="AE22" s="70" t="str">
        <f t="shared" si="17"/>
        <v/>
      </c>
      <c r="AF22" s="69"/>
      <c r="AG22" s="62" t="str">
        <f t="shared" si="18"/>
        <v/>
      </c>
      <c r="AH22" s="70" t="str">
        <f t="shared" si="19"/>
        <v/>
      </c>
      <c r="AI22" s="74" t="str">
        <f t="shared" si="31"/>
        <v/>
      </c>
      <c r="AJ22" s="62" t="str">
        <f t="shared" si="20"/>
        <v/>
      </c>
      <c r="AK22" s="70" t="str">
        <f t="shared" si="21"/>
        <v/>
      </c>
      <c r="AL22" s="69"/>
      <c r="AM22" s="62" t="str">
        <f t="shared" si="22"/>
        <v/>
      </c>
      <c r="AN22" s="70" t="str">
        <f t="shared" si="23"/>
        <v/>
      </c>
    </row>
    <row r="23" spans="1:46" ht="18" customHeight="1">
      <c r="A23" s="77" t="str">
        <f>IF($C$9="Data Not Entered On Set-Up Worksheet","",IF(OR(VLOOKUP($C$9,County_Lookup,6,FALSE)="",VLOOKUP($C$9,County_Lookup,6,FALSE)=0),"",VLOOKUP($C$9,County_Lookup,6,FALSE)))</f>
        <v/>
      </c>
      <c r="B23" s="69"/>
      <c r="C23" s="62" t="str">
        <f t="shared" si="3"/>
        <v/>
      </c>
      <c r="D23" s="70" t="str">
        <f t="shared" si="24"/>
        <v/>
      </c>
      <c r="E23" s="69"/>
      <c r="F23" s="62" t="str">
        <f t="shared" si="4"/>
        <v/>
      </c>
      <c r="G23" s="70" t="str">
        <f t="shared" si="25"/>
        <v/>
      </c>
      <c r="H23" s="69"/>
      <c r="I23" s="62" t="str">
        <f t="shared" si="5"/>
        <v/>
      </c>
      <c r="J23" s="70" t="str">
        <f t="shared" si="26"/>
        <v/>
      </c>
      <c r="K23" s="74" t="str">
        <f t="shared" si="27"/>
        <v/>
      </c>
      <c r="L23" s="62" t="str">
        <f t="shared" si="28"/>
        <v/>
      </c>
      <c r="M23" s="70" t="str">
        <f t="shared" si="6"/>
        <v/>
      </c>
      <c r="N23" s="69"/>
      <c r="O23" s="62" t="str">
        <f t="shared" si="7"/>
        <v/>
      </c>
      <c r="P23" s="70" t="str">
        <f t="shared" si="8"/>
        <v/>
      </c>
      <c r="Q23" s="69"/>
      <c r="R23" s="62" t="str">
        <f t="shared" si="9"/>
        <v/>
      </c>
      <c r="S23" s="70" t="str">
        <f t="shared" si="10"/>
        <v/>
      </c>
      <c r="T23" s="69"/>
      <c r="U23" s="62" t="str">
        <f t="shared" si="11"/>
        <v/>
      </c>
      <c r="V23" s="70" t="str">
        <f t="shared" si="12"/>
        <v/>
      </c>
      <c r="W23" s="74" t="str">
        <f t="shared" si="29"/>
        <v/>
      </c>
      <c r="X23" s="62" t="str">
        <f t="shared" si="30"/>
        <v/>
      </c>
      <c r="Y23" s="70" t="str">
        <f t="shared" si="13"/>
        <v/>
      </c>
      <c r="Z23" s="69"/>
      <c r="AA23" s="62" t="str">
        <f t="shared" si="14"/>
        <v/>
      </c>
      <c r="AB23" s="70" t="str">
        <f t="shared" si="15"/>
        <v/>
      </c>
      <c r="AC23" s="69"/>
      <c r="AD23" s="62" t="str">
        <f t="shared" si="16"/>
        <v/>
      </c>
      <c r="AE23" s="70" t="str">
        <f t="shared" si="17"/>
        <v/>
      </c>
      <c r="AF23" s="69"/>
      <c r="AG23" s="62" t="str">
        <f t="shared" si="18"/>
        <v/>
      </c>
      <c r="AH23" s="70" t="str">
        <f t="shared" si="19"/>
        <v/>
      </c>
      <c r="AI23" s="74" t="str">
        <f t="shared" si="31"/>
        <v/>
      </c>
      <c r="AJ23" s="62" t="str">
        <f t="shared" si="20"/>
        <v/>
      </c>
      <c r="AK23" s="70" t="str">
        <f t="shared" si="21"/>
        <v/>
      </c>
      <c r="AL23" s="69"/>
      <c r="AM23" s="62" t="str">
        <f t="shared" si="22"/>
        <v/>
      </c>
      <c r="AN23" s="70" t="str">
        <f t="shared" si="23"/>
        <v/>
      </c>
    </row>
    <row r="24" spans="1:46" ht="18" customHeight="1">
      <c r="A24" s="77" t="str">
        <f>IF($C$9="Data Not Entered On Set-Up Worksheet","",IF(OR(VLOOKUP($C$9,County_Lookup,7,FALSE)="",VLOOKUP($C$9,County_Lookup,7,FALSE)=0),"",VLOOKUP($C$9,County_Lookup,7,FALSE)))</f>
        <v/>
      </c>
      <c r="B24" s="69"/>
      <c r="C24" s="62" t="str">
        <f t="shared" si="3"/>
        <v/>
      </c>
      <c r="D24" s="70" t="str">
        <f t="shared" si="24"/>
        <v/>
      </c>
      <c r="E24" s="69"/>
      <c r="F24" s="62" t="str">
        <f t="shared" si="4"/>
        <v/>
      </c>
      <c r="G24" s="70" t="str">
        <f t="shared" si="25"/>
        <v/>
      </c>
      <c r="H24" s="69"/>
      <c r="I24" s="62" t="str">
        <f t="shared" si="5"/>
        <v/>
      </c>
      <c r="J24" s="70" t="str">
        <f t="shared" si="26"/>
        <v/>
      </c>
      <c r="K24" s="74" t="str">
        <f t="shared" si="27"/>
        <v/>
      </c>
      <c r="L24" s="62" t="str">
        <f t="shared" si="28"/>
        <v/>
      </c>
      <c r="M24" s="70" t="str">
        <f t="shared" si="6"/>
        <v/>
      </c>
      <c r="N24" s="69"/>
      <c r="O24" s="62" t="str">
        <f t="shared" si="7"/>
        <v/>
      </c>
      <c r="P24" s="70" t="str">
        <f t="shared" si="8"/>
        <v/>
      </c>
      <c r="Q24" s="69"/>
      <c r="R24" s="62" t="str">
        <f t="shared" si="9"/>
        <v/>
      </c>
      <c r="S24" s="70" t="str">
        <f t="shared" si="10"/>
        <v/>
      </c>
      <c r="T24" s="69"/>
      <c r="U24" s="62" t="str">
        <f t="shared" si="11"/>
        <v/>
      </c>
      <c r="V24" s="70" t="str">
        <f t="shared" si="12"/>
        <v/>
      </c>
      <c r="W24" s="74" t="str">
        <f t="shared" si="29"/>
        <v/>
      </c>
      <c r="X24" s="62" t="str">
        <f t="shared" si="30"/>
        <v/>
      </c>
      <c r="Y24" s="70" t="str">
        <f t="shared" si="13"/>
        <v/>
      </c>
      <c r="Z24" s="69"/>
      <c r="AA24" s="62" t="str">
        <f t="shared" si="14"/>
        <v/>
      </c>
      <c r="AB24" s="70" t="str">
        <f t="shared" si="15"/>
        <v/>
      </c>
      <c r="AC24" s="69"/>
      <c r="AD24" s="62" t="str">
        <f t="shared" si="16"/>
        <v/>
      </c>
      <c r="AE24" s="70" t="str">
        <f t="shared" si="17"/>
        <v/>
      </c>
      <c r="AF24" s="69"/>
      <c r="AG24" s="62" t="str">
        <f t="shared" si="18"/>
        <v/>
      </c>
      <c r="AH24" s="70" t="str">
        <f t="shared" si="19"/>
        <v/>
      </c>
      <c r="AI24" s="74" t="str">
        <f t="shared" si="31"/>
        <v/>
      </c>
      <c r="AJ24" s="62" t="str">
        <f t="shared" si="20"/>
        <v/>
      </c>
      <c r="AK24" s="70" t="str">
        <f t="shared" si="21"/>
        <v/>
      </c>
      <c r="AL24" s="69"/>
      <c r="AM24" s="62" t="str">
        <f t="shared" si="22"/>
        <v/>
      </c>
      <c r="AN24" s="70" t="str">
        <f t="shared" si="23"/>
        <v/>
      </c>
    </row>
    <row r="25" spans="1:46" ht="18" customHeight="1">
      <c r="A25" s="76" t="str">
        <f>IF($C$9="Data Not Entered On Set-Up Worksheet","",IF(OR(VLOOKUP($C$9,County_Lookup,8,FALSE)="",VLOOKUP($C$9,County_Lookup,8,FALSE)=0),"",VLOOKUP($C$9,County_Lookup,8,FALSE)))</f>
        <v/>
      </c>
      <c r="B25" s="69"/>
      <c r="C25" s="62" t="str">
        <f t="shared" si="3"/>
        <v/>
      </c>
      <c r="D25" s="70" t="str">
        <f t="shared" si="24"/>
        <v/>
      </c>
      <c r="E25" s="69"/>
      <c r="F25" s="62" t="str">
        <f t="shared" si="4"/>
        <v/>
      </c>
      <c r="G25" s="70" t="str">
        <f t="shared" si="25"/>
        <v/>
      </c>
      <c r="H25" s="69"/>
      <c r="I25" s="62" t="str">
        <f t="shared" si="5"/>
        <v/>
      </c>
      <c r="J25" s="70" t="str">
        <f t="shared" si="26"/>
        <v/>
      </c>
      <c r="K25" s="74" t="str">
        <f t="shared" si="27"/>
        <v/>
      </c>
      <c r="L25" s="62" t="str">
        <f t="shared" si="28"/>
        <v/>
      </c>
      <c r="M25" s="70" t="str">
        <f t="shared" si="6"/>
        <v/>
      </c>
      <c r="N25" s="69"/>
      <c r="O25" s="62" t="str">
        <f t="shared" si="7"/>
        <v/>
      </c>
      <c r="P25" s="70" t="str">
        <f t="shared" si="8"/>
        <v/>
      </c>
      <c r="Q25" s="69"/>
      <c r="R25" s="62" t="str">
        <f t="shared" si="9"/>
        <v/>
      </c>
      <c r="S25" s="70" t="str">
        <f t="shared" si="10"/>
        <v/>
      </c>
      <c r="T25" s="69"/>
      <c r="U25" s="62" t="str">
        <f t="shared" si="11"/>
        <v/>
      </c>
      <c r="V25" s="70" t="str">
        <f t="shared" si="12"/>
        <v/>
      </c>
      <c r="W25" s="74" t="str">
        <f t="shared" si="29"/>
        <v/>
      </c>
      <c r="X25" s="62" t="str">
        <f t="shared" si="30"/>
        <v/>
      </c>
      <c r="Y25" s="70" t="str">
        <f t="shared" si="13"/>
        <v/>
      </c>
      <c r="Z25" s="69"/>
      <c r="AA25" s="62" t="str">
        <f t="shared" si="14"/>
        <v/>
      </c>
      <c r="AB25" s="70" t="str">
        <f t="shared" si="15"/>
        <v/>
      </c>
      <c r="AC25" s="69"/>
      <c r="AD25" s="62" t="str">
        <f t="shared" si="16"/>
        <v/>
      </c>
      <c r="AE25" s="70" t="str">
        <f t="shared" si="17"/>
        <v/>
      </c>
      <c r="AF25" s="69"/>
      <c r="AG25" s="62" t="str">
        <f t="shared" si="18"/>
        <v/>
      </c>
      <c r="AH25" s="70" t="str">
        <f t="shared" si="19"/>
        <v/>
      </c>
      <c r="AI25" s="74" t="str">
        <f t="shared" si="31"/>
        <v/>
      </c>
      <c r="AJ25" s="62" t="str">
        <f t="shared" si="20"/>
        <v/>
      </c>
      <c r="AK25" s="70" t="str">
        <f t="shared" si="21"/>
        <v/>
      </c>
      <c r="AL25" s="69"/>
      <c r="AM25" s="62" t="str">
        <f t="shared" si="22"/>
        <v/>
      </c>
      <c r="AN25" s="70" t="str">
        <f t="shared" si="23"/>
        <v/>
      </c>
    </row>
    <row r="26" spans="1:46" ht="18" customHeight="1">
      <c r="A26" s="77" t="str">
        <f>IF($C$9="Data Not Entered On Set-Up Worksheet","",IF(OR(VLOOKUP($C$9,County_Lookup,9,FALSE)="",VLOOKUP($C$9,County_Lookup,9,FALSE)=0),"",VLOOKUP($C$9,County_Lookup,9,FALSE)))</f>
        <v/>
      </c>
      <c r="B26" s="69"/>
      <c r="C26" s="62" t="str">
        <f t="shared" si="3"/>
        <v/>
      </c>
      <c r="D26" s="70" t="str">
        <f t="shared" si="24"/>
        <v/>
      </c>
      <c r="E26" s="69"/>
      <c r="F26" s="62" t="str">
        <f t="shared" si="4"/>
        <v/>
      </c>
      <c r="G26" s="70" t="str">
        <f t="shared" si="25"/>
        <v/>
      </c>
      <c r="H26" s="69"/>
      <c r="I26" s="62" t="str">
        <f t="shared" si="5"/>
        <v/>
      </c>
      <c r="J26" s="70" t="str">
        <f t="shared" si="26"/>
        <v/>
      </c>
      <c r="K26" s="74" t="str">
        <f t="shared" si="27"/>
        <v/>
      </c>
      <c r="L26" s="62" t="str">
        <f t="shared" si="28"/>
        <v/>
      </c>
      <c r="M26" s="70" t="str">
        <f t="shared" si="6"/>
        <v/>
      </c>
      <c r="N26" s="69"/>
      <c r="O26" s="62" t="str">
        <f t="shared" si="7"/>
        <v/>
      </c>
      <c r="P26" s="70" t="str">
        <f t="shared" si="8"/>
        <v/>
      </c>
      <c r="Q26" s="69"/>
      <c r="R26" s="62" t="str">
        <f t="shared" si="9"/>
        <v/>
      </c>
      <c r="S26" s="70" t="str">
        <f t="shared" si="10"/>
        <v/>
      </c>
      <c r="T26" s="69"/>
      <c r="U26" s="62" t="str">
        <f t="shared" si="11"/>
        <v/>
      </c>
      <c r="V26" s="70" t="str">
        <f t="shared" si="12"/>
        <v/>
      </c>
      <c r="W26" s="74" t="str">
        <f t="shared" si="29"/>
        <v/>
      </c>
      <c r="X26" s="62" t="str">
        <f t="shared" si="30"/>
        <v/>
      </c>
      <c r="Y26" s="70" t="str">
        <f t="shared" si="13"/>
        <v/>
      </c>
      <c r="Z26" s="69"/>
      <c r="AA26" s="62" t="str">
        <f t="shared" si="14"/>
        <v/>
      </c>
      <c r="AB26" s="70" t="str">
        <f t="shared" si="15"/>
        <v/>
      </c>
      <c r="AC26" s="69"/>
      <c r="AD26" s="62" t="str">
        <f t="shared" si="16"/>
        <v/>
      </c>
      <c r="AE26" s="70" t="str">
        <f t="shared" si="17"/>
        <v/>
      </c>
      <c r="AF26" s="69"/>
      <c r="AG26" s="62" t="str">
        <f t="shared" si="18"/>
        <v/>
      </c>
      <c r="AH26" s="70" t="str">
        <f t="shared" si="19"/>
        <v/>
      </c>
      <c r="AI26" s="74" t="str">
        <f t="shared" si="31"/>
        <v/>
      </c>
      <c r="AJ26" s="62" t="str">
        <f t="shared" si="20"/>
        <v/>
      </c>
      <c r="AK26" s="70" t="str">
        <f t="shared" si="21"/>
        <v/>
      </c>
      <c r="AL26" s="69"/>
      <c r="AM26" s="62" t="str">
        <f t="shared" si="22"/>
        <v/>
      </c>
      <c r="AN26" s="70" t="str">
        <f t="shared" si="23"/>
        <v/>
      </c>
    </row>
    <row r="27" spans="1:46" ht="18" customHeight="1">
      <c r="A27" s="77" t="str">
        <f>IF($C$9="Data Not Entered On Set-Up Worksheet","",IF(OR(VLOOKUP($C$9,County_Lookup,10,FALSE)="",VLOOKUP($C$9,County_Lookup,10,FALSE)=0),"",VLOOKUP($C$9,County_Lookup,10,FALSE)))</f>
        <v/>
      </c>
      <c r="B27" s="69"/>
      <c r="C27" s="62" t="str">
        <f t="shared" si="3"/>
        <v/>
      </c>
      <c r="D27" s="70" t="str">
        <f t="shared" si="24"/>
        <v/>
      </c>
      <c r="E27" s="69"/>
      <c r="F27" s="62" t="str">
        <f t="shared" si="4"/>
        <v/>
      </c>
      <c r="G27" s="70" t="str">
        <f t="shared" si="25"/>
        <v/>
      </c>
      <c r="H27" s="69"/>
      <c r="I27" s="62" t="str">
        <f t="shared" si="5"/>
        <v/>
      </c>
      <c r="J27" s="70" t="str">
        <f t="shared" si="26"/>
        <v/>
      </c>
      <c r="K27" s="74" t="str">
        <f t="shared" si="27"/>
        <v/>
      </c>
      <c r="L27" s="62" t="str">
        <f t="shared" si="28"/>
        <v/>
      </c>
      <c r="M27" s="70" t="str">
        <f t="shared" si="6"/>
        <v/>
      </c>
      <c r="N27" s="69"/>
      <c r="O27" s="62" t="str">
        <f t="shared" si="7"/>
        <v/>
      </c>
      <c r="P27" s="70" t="str">
        <f t="shared" si="8"/>
        <v/>
      </c>
      <c r="Q27" s="69"/>
      <c r="R27" s="62" t="str">
        <f t="shared" si="9"/>
        <v/>
      </c>
      <c r="S27" s="70" t="str">
        <f t="shared" si="10"/>
        <v/>
      </c>
      <c r="T27" s="69"/>
      <c r="U27" s="62" t="str">
        <f t="shared" si="11"/>
        <v/>
      </c>
      <c r="V27" s="70" t="str">
        <f t="shared" si="12"/>
        <v/>
      </c>
      <c r="W27" s="74" t="str">
        <f t="shared" si="29"/>
        <v/>
      </c>
      <c r="X27" s="62" t="str">
        <f t="shared" si="30"/>
        <v/>
      </c>
      <c r="Y27" s="70" t="str">
        <f t="shared" si="13"/>
        <v/>
      </c>
      <c r="Z27" s="69"/>
      <c r="AA27" s="62" t="str">
        <f t="shared" si="14"/>
        <v/>
      </c>
      <c r="AB27" s="70" t="str">
        <f t="shared" si="15"/>
        <v/>
      </c>
      <c r="AC27" s="69"/>
      <c r="AD27" s="62" t="str">
        <f t="shared" si="16"/>
        <v/>
      </c>
      <c r="AE27" s="70" t="str">
        <f t="shared" si="17"/>
        <v/>
      </c>
      <c r="AF27" s="69"/>
      <c r="AG27" s="62" t="str">
        <f t="shared" si="18"/>
        <v/>
      </c>
      <c r="AH27" s="70" t="str">
        <f t="shared" si="19"/>
        <v/>
      </c>
      <c r="AI27" s="74" t="str">
        <f t="shared" si="31"/>
        <v/>
      </c>
      <c r="AJ27" s="62" t="str">
        <f t="shared" si="20"/>
        <v/>
      </c>
      <c r="AK27" s="70" t="str">
        <f t="shared" si="21"/>
        <v/>
      </c>
      <c r="AL27" s="69"/>
      <c r="AM27" s="62" t="str">
        <f t="shared" si="22"/>
        <v/>
      </c>
      <c r="AN27" s="70" t="str">
        <f t="shared" si="23"/>
        <v/>
      </c>
    </row>
    <row r="28" spans="1:46" ht="18" customHeight="1">
      <c r="A28" s="77" t="str">
        <f>IF($C$9="Data Not Entered On Set-Up Worksheet","",IF(OR(VLOOKUP($C$9,County_Lookup,11,FALSE)="",VLOOKUP($C$9,County_Lookup,11,FALSE)=0),"",VLOOKUP($C$9,County_Lookup,11,FALSE)))</f>
        <v/>
      </c>
      <c r="B28" s="69"/>
      <c r="C28" s="62" t="str">
        <f t="shared" si="3"/>
        <v/>
      </c>
      <c r="D28" s="70" t="str">
        <f t="shared" si="24"/>
        <v/>
      </c>
      <c r="E28" s="69"/>
      <c r="F28" s="62" t="str">
        <f t="shared" si="4"/>
        <v/>
      </c>
      <c r="G28" s="70" t="str">
        <f t="shared" si="25"/>
        <v/>
      </c>
      <c r="H28" s="69"/>
      <c r="I28" s="62" t="str">
        <f t="shared" si="5"/>
        <v/>
      </c>
      <c r="J28" s="70" t="str">
        <f t="shared" si="26"/>
        <v/>
      </c>
      <c r="K28" s="74" t="str">
        <f t="shared" si="27"/>
        <v/>
      </c>
      <c r="L28" s="62" t="str">
        <f t="shared" si="28"/>
        <v/>
      </c>
      <c r="M28" s="70" t="str">
        <f t="shared" si="6"/>
        <v/>
      </c>
      <c r="N28" s="69"/>
      <c r="O28" s="62" t="str">
        <f t="shared" si="7"/>
        <v/>
      </c>
      <c r="P28" s="70" t="str">
        <f t="shared" si="8"/>
        <v/>
      </c>
      <c r="Q28" s="69"/>
      <c r="R28" s="62" t="str">
        <f t="shared" si="9"/>
        <v/>
      </c>
      <c r="S28" s="70" t="str">
        <f t="shared" si="10"/>
        <v/>
      </c>
      <c r="T28" s="69"/>
      <c r="U28" s="62" t="str">
        <f t="shared" si="11"/>
        <v/>
      </c>
      <c r="V28" s="70" t="str">
        <f t="shared" si="12"/>
        <v/>
      </c>
      <c r="W28" s="74" t="str">
        <f t="shared" si="29"/>
        <v/>
      </c>
      <c r="X28" s="62" t="str">
        <f t="shared" si="30"/>
        <v/>
      </c>
      <c r="Y28" s="70" t="str">
        <f t="shared" si="13"/>
        <v/>
      </c>
      <c r="Z28" s="69"/>
      <c r="AA28" s="62" t="str">
        <f t="shared" si="14"/>
        <v/>
      </c>
      <c r="AB28" s="70" t="str">
        <f t="shared" si="15"/>
        <v/>
      </c>
      <c r="AC28" s="69"/>
      <c r="AD28" s="62" t="str">
        <f t="shared" si="16"/>
        <v/>
      </c>
      <c r="AE28" s="70" t="str">
        <f t="shared" si="17"/>
        <v/>
      </c>
      <c r="AF28" s="69"/>
      <c r="AG28" s="62" t="str">
        <f t="shared" si="18"/>
        <v/>
      </c>
      <c r="AH28" s="70" t="str">
        <f t="shared" si="19"/>
        <v/>
      </c>
      <c r="AI28" s="74" t="str">
        <f t="shared" si="31"/>
        <v/>
      </c>
      <c r="AJ28" s="62" t="str">
        <f t="shared" si="20"/>
        <v/>
      </c>
      <c r="AK28" s="70" t="str">
        <f t="shared" si="21"/>
        <v/>
      </c>
      <c r="AL28" s="69"/>
      <c r="AM28" s="62" t="str">
        <f t="shared" si="22"/>
        <v/>
      </c>
      <c r="AN28" s="70" t="str">
        <f t="shared" si="23"/>
        <v/>
      </c>
    </row>
    <row r="29" spans="1:46" ht="18" customHeight="1">
      <c r="A29" s="77" t="str">
        <f>IF($C$9="Data Not Entered On Set-Up Worksheet","",IF(OR(VLOOKUP($C$9,County_Lookup,12,FALSE)="",VLOOKUP($C$9,County_Lookup,12,FALSE)=0),"",VLOOKUP($C$9,County_Lookup,12,FALSE)))</f>
        <v/>
      </c>
      <c r="B29" s="69"/>
      <c r="C29" s="62" t="str">
        <f t="shared" si="3"/>
        <v/>
      </c>
      <c r="D29" s="70" t="str">
        <f t="shared" si="24"/>
        <v/>
      </c>
      <c r="E29" s="69"/>
      <c r="F29" s="62" t="str">
        <f t="shared" si="4"/>
        <v/>
      </c>
      <c r="G29" s="70" t="str">
        <f t="shared" si="25"/>
        <v/>
      </c>
      <c r="H29" s="69"/>
      <c r="I29" s="62" t="str">
        <f t="shared" si="5"/>
        <v/>
      </c>
      <c r="J29" s="70" t="str">
        <f t="shared" si="26"/>
        <v/>
      </c>
      <c r="K29" s="74" t="str">
        <f t="shared" si="27"/>
        <v/>
      </c>
      <c r="L29" s="62" t="str">
        <f t="shared" si="28"/>
        <v/>
      </c>
      <c r="M29" s="70" t="str">
        <f t="shared" si="6"/>
        <v/>
      </c>
      <c r="N29" s="69"/>
      <c r="O29" s="62" t="str">
        <f t="shared" si="7"/>
        <v/>
      </c>
      <c r="P29" s="70" t="str">
        <f t="shared" si="8"/>
        <v/>
      </c>
      <c r="Q29" s="69"/>
      <c r="R29" s="62" t="str">
        <f t="shared" si="9"/>
        <v/>
      </c>
      <c r="S29" s="70" t="str">
        <f t="shared" si="10"/>
        <v/>
      </c>
      <c r="T29" s="69"/>
      <c r="U29" s="62" t="str">
        <f t="shared" si="11"/>
        <v/>
      </c>
      <c r="V29" s="70" t="str">
        <f t="shared" si="12"/>
        <v/>
      </c>
      <c r="W29" s="74" t="str">
        <f t="shared" si="29"/>
        <v/>
      </c>
      <c r="X29" s="62" t="str">
        <f t="shared" si="30"/>
        <v/>
      </c>
      <c r="Y29" s="70" t="str">
        <f t="shared" si="13"/>
        <v/>
      </c>
      <c r="Z29" s="69"/>
      <c r="AA29" s="62" t="str">
        <f t="shared" si="14"/>
        <v/>
      </c>
      <c r="AB29" s="70" t="str">
        <f t="shared" si="15"/>
        <v/>
      </c>
      <c r="AC29" s="69"/>
      <c r="AD29" s="62" t="str">
        <f t="shared" si="16"/>
        <v/>
      </c>
      <c r="AE29" s="70" t="str">
        <f t="shared" si="17"/>
        <v/>
      </c>
      <c r="AF29" s="69"/>
      <c r="AG29" s="62" t="str">
        <f t="shared" si="18"/>
        <v/>
      </c>
      <c r="AH29" s="70" t="str">
        <f t="shared" si="19"/>
        <v/>
      </c>
      <c r="AI29" s="74" t="str">
        <f t="shared" si="31"/>
        <v/>
      </c>
      <c r="AJ29" s="62" t="str">
        <f t="shared" si="20"/>
        <v/>
      </c>
      <c r="AK29" s="70" t="str">
        <f t="shared" si="21"/>
        <v/>
      </c>
      <c r="AL29" s="69"/>
      <c r="AM29" s="62" t="str">
        <f t="shared" si="22"/>
        <v/>
      </c>
      <c r="AN29" s="70" t="str">
        <f t="shared" si="23"/>
        <v/>
      </c>
    </row>
    <row r="30" spans="1:46" ht="18" customHeight="1">
      <c r="A30" s="77" t="str">
        <f>IF($C$9="Data Not Entered On Set-Up Worksheet","",IF(OR(VLOOKUP($C$9,County_Lookup,13,FALSE)="",VLOOKUP($C$9,County_Lookup,13,FALSE)=0),"",VLOOKUP($C$9,County_Lookup,13,FALSE)))</f>
        <v/>
      </c>
      <c r="B30" s="69"/>
      <c r="C30" s="62" t="str">
        <f t="shared" si="3"/>
        <v/>
      </c>
      <c r="D30" s="70" t="str">
        <f t="shared" si="24"/>
        <v/>
      </c>
      <c r="E30" s="69"/>
      <c r="F30" s="62" t="str">
        <f t="shared" si="4"/>
        <v/>
      </c>
      <c r="G30" s="70" t="str">
        <f t="shared" si="25"/>
        <v/>
      </c>
      <c r="H30" s="69"/>
      <c r="I30" s="62" t="str">
        <f t="shared" si="5"/>
        <v/>
      </c>
      <c r="J30" s="70" t="str">
        <f t="shared" si="26"/>
        <v/>
      </c>
      <c r="K30" s="74" t="str">
        <f t="shared" si="27"/>
        <v/>
      </c>
      <c r="L30" s="62" t="str">
        <f t="shared" si="28"/>
        <v/>
      </c>
      <c r="M30" s="70" t="str">
        <f t="shared" si="6"/>
        <v/>
      </c>
      <c r="N30" s="69"/>
      <c r="O30" s="62" t="str">
        <f t="shared" si="7"/>
        <v/>
      </c>
      <c r="P30" s="70" t="str">
        <f t="shared" si="8"/>
        <v/>
      </c>
      <c r="Q30" s="69"/>
      <c r="R30" s="62" t="str">
        <f t="shared" si="9"/>
        <v/>
      </c>
      <c r="S30" s="70" t="str">
        <f t="shared" si="10"/>
        <v/>
      </c>
      <c r="T30" s="69"/>
      <c r="U30" s="62" t="str">
        <f t="shared" si="11"/>
        <v/>
      </c>
      <c r="V30" s="70" t="str">
        <f t="shared" si="12"/>
        <v/>
      </c>
      <c r="W30" s="74" t="str">
        <f t="shared" si="29"/>
        <v/>
      </c>
      <c r="X30" s="62" t="str">
        <f t="shared" si="30"/>
        <v/>
      </c>
      <c r="Y30" s="70" t="str">
        <f t="shared" si="13"/>
        <v/>
      </c>
      <c r="Z30" s="69"/>
      <c r="AA30" s="62" t="str">
        <f t="shared" si="14"/>
        <v/>
      </c>
      <c r="AB30" s="70" t="str">
        <f t="shared" si="15"/>
        <v/>
      </c>
      <c r="AC30" s="69"/>
      <c r="AD30" s="62" t="str">
        <f t="shared" si="16"/>
        <v/>
      </c>
      <c r="AE30" s="70" t="str">
        <f t="shared" si="17"/>
        <v/>
      </c>
      <c r="AF30" s="69"/>
      <c r="AG30" s="62" t="str">
        <f t="shared" si="18"/>
        <v/>
      </c>
      <c r="AH30" s="70" t="str">
        <f t="shared" si="19"/>
        <v/>
      </c>
      <c r="AI30" s="74" t="str">
        <f t="shared" si="31"/>
        <v/>
      </c>
      <c r="AJ30" s="62" t="str">
        <f t="shared" si="20"/>
        <v/>
      </c>
      <c r="AK30" s="70" t="str">
        <f t="shared" si="21"/>
        <v/>
      </c>
      <c r="AL30" s="69"/>
      <c r="AM30" s="62" t="str">
        <f t="shared" si="22"/>
        <v/>
      </c>
      <c r="AN30" s="70" t="str">
        <f t="shared" si="23"/>
        <v/>
      </c>
    </row>
    <row r="31" spans="1:46" ht="18" customHeight="1">
      <c r="A31" s="77" t="str">
        <f>IF($C$9="Data Not Entered On Set-Up Worksheet","",IF(OR(VLOOKUP($C$9,County_Lookup,14,FALSE)="",VLOOKUP($C$9,County_Lookup,14,FALSE)=0),"",VLOOKUP($C$9,County_Lookup,14,FALSE)))</f>
        <v/>
      </c>
      <c r="B31" s="69"/>
      <c r="C31" s="62" t="str">
        <f t="shared" si="3"/>
        <v/>
      </c>
      <c r="D31" s="70" t="str">
        <f t="shared" si="24"/>
        <v/>
      </c>
      <c r="E31" s="69"/>
      <c r="F31" s="62" t="str">
        <f t="shared" si="4"/>
        <v/>
      </c>
      <c r="G31" s="70" t="str">
        <f t="shared" si="25"/>
        <v/>
      </c>
      <c r="H31" s="69"/>
      <c r="I31" s="62" t="str">
        <f t="shared" si="5"/>
        <v/>
      </c>
      <c r="J31" s="70" t="str">
        <f t="shared" si="26"/>
        <v/>
      </c>
      <c r="K31" s="74" t="str">
        <f t="shared" si="27"/>
        <v/>
      </c>
      <c r="L31" s="62" t="str">
        <f t="shared" si="28"/>
        <v/>
      </c>
      <c r="M31" s="70" t="str">
        <f t="shared" si="6"/>
        <v/>
      </c>
      <c r="N31" s="69"/>
      <c r="O31" s="62" t="str">
        <f t="shared" si="7"/>
        <v/>
      </c>
      <c r="P31" s="70" t="str">
        <f t="shared" si="8"/>
        <v/>
      </c>
      <c r="Q31" s="69"/>
      <c r="R31" s="62" t="str">
        <f t="shared" si="9"/>
        <v/>
      </c>
      <c r="S31" s="70" t="str">
        <f t="shared" si="10"/>
        <v/>
      </c>
      <c r="T31" s="69"/>
      <c r="U31" s="62" t="str">
        <f t="shared" si="11"/>
        <v/>
      </c>
      <c r="V31" s="70" t="str">
        <f t="shared" si="12"/>
        <v/>
      </c>
      <c r="W31" s="74" t="str">
        <f t="shared" si="29"/>
        <v/>
      </c>
      <c r="X31" s="62" t="str">
        <f t="shared" si="30"/>
        <v/>
      </c>
      <c r="Y31" s="70" t="str">
        <f t="shared" si="13"/>
        <v/>
      </c>
      <c r="Z31" s="69"/>
      <c r="AA31" s="62" t="str">
        <f t="shared" si="14"/>
        <v/>
      </c>
      <c r="AB31" s="70" t="str">
        <f t="shared" si="15"/>
        <v/>
      </c>
      <c r="AC31" s="69"/>
      <c r="AD31" s="62" t="str">
        <f t="shared" si="16"/>
        <v/>
      </c>
      <c r="AE31" s="70" t="str">
        <f t="shared" si="17"/>
        <v/>
      </c>
      <c r="AF31" s="69"/>
      <c r="AG31" s="62" t="str">
        <f t="shared" si="18"/>
        <v/>
      </c>
      <c r="AH31" s="70" t="str">
        <f t="shared" si="19"/>
        <v/>
      </c>
      <c r="AI31" s="74" t="str">
        <f t="shared" si="31"/>
        <v/>
      </c>
      <c r="AJ31" s="62" t="str">
        <f t="shared" si="20"/>
        <v/>
      </c>
      <c r="AK31" s="70" t="str">
        <f t="shared" si="21"/>
        <v/>
      </c>
      <c r="AL31" s="69"/>
      <c r="AM31" s="62" t="str">
        <f t="shared" si="22"/>
        <v/>
      </c>
      <c r="AN31" s="70" t="str">
        <f t="shared" si="23"/>
        <v/>
      </c>
    </row>
    <row r="32" spans="1:46" ht="18" customHeight="1">
      <c r="A32" s="76" t="str">
        <f>IF($C$9="Data Not Entered On Set-Up Worksheet","",IF(OR(VLOOKUP($C$9,County_Lookup,15,FALSE)="",VLOOKUP($C$9,County_Lookup,15,FALSE)=0),"",VLOOKUP($C$9,County_Lookup,15,FALSE)))</f>
        <v/>
      </c>
      <c r="B32" s="69"/>
      <c r="C32" s="62" t="str">
        <f t="shared" si="3"/>
        <v/>
      </c>
      <c r="D32" s="70" t="str">
        <f t="shared" si="24"/>
        <v/>
      </c>
      <c r="E32" s="69"/>
      <c r="F32" s="62" t="str">
        <f t="shared" si="4"/>
        <v/>
      </c>
      <c r="G32" s="70" t="str">
        <f t="shared" si="25"/>
        <v/>
      </c>
      <c r="H32" s="69"/>
      <c r="I32" s="62" t="str">
        <f t="shared" si="5"/>
        <v/>
      </c>
      <c r="J32" s="70" t="str">
        <f t="shared" si="26"/>
        <v/>
      </c>
      <c r="K32" s="74" t="str">
        <f t="shared" si="27"/>
        <v/>
      </c>
      <c r="L32" s="62" t="str">
        <f t="shared" si="28"/>
        <v/>
      </c>
      <c r="M32" s="70" t="str">
        <f t="shared" si="6"/>
        <v/>
      </c>
      <c r="N32" s="69"/>
      <c r="O32" s="62" t="str">
        <f t="shared" si="7"/>
        <v/>
      </c>
      <c r="P32" s="70" t="str">
        <f t="shared" si="8"/>
        <v/>
      </c>
      <c r="Q32" s="69"/>
      <c r="R32" s="62" t="str">
        <f t="shared" si="9"/>
        <v/>
      </c>
      <c r="S32" s="70" t="str">
        <f t="shared" si="10"/>
        <v/>
      </c>
      <c r="T32" s="69"/>
      <c r="U32" s="62" t="str">
        <f t="shared" si="11"/>
        <v/>
      </c>
      <c r="V32" s="70" t="str">
        <f t="shared" si="12"/>
        <v/>
      </c>
      <c r="W32" s="74" t="str">
        <f t="shared" si="29"/>
        <v/>
      </c>
      <c r="X32" s="62" t="str">
        <f t="shared" si="30"/>
        <v/>
      </c>
      <c r="Y32" s="70" t="str">
        <f t="shared" si="13"/>
        <v/>
      </c>
      <c r="Z32" s="69"/>
      <c r="AA32" s="62" t="str">
        <f t="shared" si="14"/>
        <v/>
      </c>
      <c r="AB32" s="70" t="str">
        <f t="shared" si="15"/>
        <v/>
      </c>
      <c r="AC32" s="69"/>
      <c r="AD32" s="62" t="str">
        <f t="shared" si="16"/>
        <v/>
      </c>
      <c r="AE32" s="70" t="str">
        <f t="shared" si="17"/>
        <v/>
      </c>
      <c r="AF32" s="69"/>
      <c r="AG32" s="62" t="str">
        <f t="shared" si="18"/>
        <v/>
      </c>
      <c r="AH32" s="70" t="str">
        <f t="shared" si="19"/>
        <v/>
      </c>
      <c r="AI32" s="74" t="str">
        <f t="shared" si="31"/>
        <v/>
      </c>
      <c r="AJ32" s="62" t="str">
        <f t="shared" si="20"/>
        <v/>
      </c>
      <c r="AK32" s="70" t="str">
        <f t="shared" si="21"/>
        <v/>
      </c>
      <c r="AL32" s="69"/>
      <c r="AM32" s="62" t="str">
        <f t="shared" si="22"/>
        <v/>
      </c>
      <c r="AN32" s="70" t="str">
        <f t="shared" si="23"/>
        <v/>
      </c>
    </row>
    <row r="33" spans="1:40" ht="18" customHeight="1">
      <c r="A33" s="77" t="str">
        <f>IF($C$9="Data Not Entered On Set-Up Worksheet","",IF(OR(VLOOKUP($C$9,County_Lookup,16,FALSE)="",VLOOKUP($C$9,County_Lookup,16,FALSE)=0),"",VLOOKUP($C$9,County_Lookup,16,FALSE)))</f>
        <v/>
      </c>
      <c r="B33" s="69"/>
      <c r="C33" s="62" t="str">
        <f t="shared" si="3"/>
        <v/>
      </c>
      <c r="D33" s="70" t="str">
        <f t="shared" si="24"/>
        <v/>
      </c>
      <c r="E33" s="69"/>
      <c r="F33" s="62" t="str">
        <f t="shared" si="4"/>
        <v/>
      </c>
      <c r="G33" s="70" t="str">
        <f t="shared" si="25"/>
        <v/>
      </c>
      <c r="H33" s="69"/>
      <c r="I33" s="62" t="str">
        <f t="shared" si="5"/>
        <v/>
      </c>
      <c r="J33" s="70" t="str">
        <f t="shared" si="26"/>
        <v/>
      </c>
      <c r="K33" s="74" t="str">
        <f t="shared" si="27"/>
        <v/>
      </c>
      <c r="L33" s="62" t="str">
        <f t="shared" si="28"/>
        <v/>
      </c>
      <c r="M33" s="70" t="str">
        <f t="shared" si="6"/>
        <v/>
      </c>
      <c r="N33" s="69"/>
      <c r="O33" s="62" t="str">
        <f t="shared" si="7"/>
        <v/>
      </c>
      <c r="P33" s="70" t="str">
        <f t="shared" si="8"/>
        <v/>
      </c>
      <c r="Q33" s="69"/>
      <c r="R33" s="62" t="str">
        <f t="shared" si="9"/>
        <v/>
      </c>
      <c r="S33" s="70" t="str">
        <f t="shared" si="10"/>
        <v/>
      </c>
      <c r="T33" s="69"/>
      <c r="U33" s="62" t="str">
        <f t="shared" si="11"/>
        <v/>
      </c>
      <c r="V33" s="70" t="str">
        <f t="shared" si="12"/>
        <v/>
      </c>
      <c r="W33" s="74" t="str">
        <f t="shared" si="29"/>
        <v/>
      </c>
      <c r="X33" s="62" t="str">
        <f t="shared" si="30"/>
        <v/>
      </c>
      <c r="Y33" s="70" t="str">
        <f t="shared" si="13"/>
        <v/>
      </c>
      <c r="Z33" s="69"/>
      <c r="AA33" s="62" t="str">
        <f t="shared" si="14"/>
        <v/>
      </c>
      <c r="AB33" s="70" t="str">
        <f t="shared" si="15"/>
        <v/>
      </c>
      <c r="AC33" s="69"/>
      <c r="AD33" s="62" t="str">
        <f t="shared" si="16"/>
        <v/>
      </c>
      <c r="AE33" s="70" t="str">
        <f t="shared" si="17"/>
        <v/>
      </c>
      <c r="AF33" s="69"/>
      <c r="AG33" s="62" t="str">
        <f t="shared" si="18"/>
        <v/>
      </c>
      <c r="AH33" s="70" t="str">
        <f t="shared" si="19"/>
        <v/>
      </c>
      <c r="AI33" s="74" t="str">
        <f t="shared" si="31"/>
        <v/>
      </c>
      <c r="AJ33" s="62" t="str">
        <f t="shared" si="20"/>
        <v/>
      </c>
      <c r="AK33" s="70" t="str">
        <f t="shared" si="21"/>
        <v/>
      </c>
      <c r="AL33" s="69"/>
      <c r="AM33" s="62" t="str">
        <f t="shared" si="22"/>
        <v/>
      </c>
      <c r="AN33" s="70" t="str">
        <f t="shared" si="23"/>
        <v/>
      </c>
    </row>
    <row r="34" spans="1:40" ht="18" customHeight="1">
      <c r="A34" s="77" t="str">
        <f>IF($C$9="Data Not Entered On Set-Up Worksheet","",IF(OR(VLOOKUP($C$9,County_Lookup,17,FALSE)="",VLOOKUP($C$9,County_Lookup,17,FALSE)=0),"",VLOOKUP($C$9,County_Lookup,17,FALSE)))</f>
        <v/>
      </c>
      <c r="B34" s="69"/>
      <c r="C34" s="62" t="str">
        <f t="shared" si="3"/>
        <v/>
      </c>
      <c r="D34" s="70" t="str">
        <f t="shared" si="24"/>
        <v/>
      </c>
      <c r="E34" s="69"/>
      <c r="F34" s="62" t="str">
        <f t="shared" si="4"/>
        <v/>
      </c>
      <c r="G34" s="70" t="str">
        <f t="shared" si="25"/>
        <v/>
      </c>
      <c r="H34" s="69"/>
      <c r="I34" s="62" t="str">
        <f t="shared" si="5"/>
        <v/>
      </c>
      <c r="J34" s="70" t="str">
        <f t="shared" si="26"/>
        <v/>
      </c>
      <c r="K34" s="74" t="str">
        <f t="shared" si="27"/>
        <v/>
      </c>
      <c r="L34" s="62" t="str">
        <f t="shared" si="28"/>
        <v/>
      </c>
      <c r="M34" s="70" t="str">
        <f t="shared" si="6"/>
        <v/>
      </c>
      <c r="N34" s="69"/>
      <c r="O34" s="62" t="str">
        <f t="shared" si="7"/>
        <v/>
      </c>
      <c r="P34" s="70" t="str">
        <f t="shared" si="8"/>
        <v/>
      </c>
      <c r="Q34" s="69"/>
      <c r="R34" s="62" t="str">
        <f t="shared" si="9"/>
        <v/>
      </c>
      <c r="S34" s="70" t="str">
        <f t="shared" si="10"/>
        <v/>
      </c>
      <c r="T34" s="69"/>
      <c r="U34" s="62" t="str">
        <f t="shared" si="11"/>
        <v/>
      </c>
      <c r="V34" s="70" t="str">
        <f t="shared" si="12"/>
        <v/>
      </c>
      <c r="W34" s="74" t="str">
        <f t="shared" si="29"/>
        <v/>
      </c>
      <c r="X34" s="62" t="str">
        <f t="shared" si="30"/>
        <v/>
      </c>
      <c r="Y34" s="70" t="str">
        <f t="shared" si="13"/>
        <v/>
      </c>
      <c r="Z34" s="69"/>
      <c r="AA34" s="62" t="str">
        <f t="shared" si="14"/>
        <v/>
      </c>
      <c r="AB34" s="70" t="str">
        <f t="shared" si="15"/>
        <v/>
      </c>
      <c r="AC34" s="69"/>
      <c r="AD34" s="62" t="str">
        <f t="shared" si="16"/>
        <v/>
      </c>
      <c r="AE34" s="70" t="str">
        <f t="shared" si="17"/>
        <v/>
      </c>
      <c r="AF34" s="69"/>
      <c r="AG34" s="62" t="str">
        <f t="shared" si="18"/>
        <v/>
      </c>
      <c r="AH34" s="70" t="str">
        <f t="shared" si="19"/>
        <v/>
      </c>
      <c r="AI34" s="74" t="str">
        <f t="shared" si="31"/>
        <v/>
      </c>
      <c r="AJ34" s="62" t="str">
        <f t="shared" si="20"/>
        <v/>
      </c>
      <c r="AK34" s="70" t="str">
        <f t="shared" si="21"/>
        <v/>
      </c>
      <c r="AL34" s="69"/>
      <c r="AM34" s="62" t="str">
        <f t="shared" si="22"/>
        <v/>
      </c>
      <c r="AN34" s="70" t="str">
        <f t="shared" si="23"/>
        <v/>
      </c>
    </row>
    <row r="35" spans="1:40" ht="18" customHeight="1">
      <c r="A35" s="77" t="str">
        <f>IF($C$9="Data Not Entered On Set-Up Worksheet","",IF(OR(VLOOKUP($C$9,County_Lookup,18,FALSE)="",VLOOKUP($C$9,County_Lookup,18,FALSE)=0),"",VLOOKUP($C$9,County_Lookup,18,FALSE)))</f>
        <v/>
      </c>
      <c r="B35" s="69"/>
      <c r="C35" s="62" t="str">
        <f t="shared" si="3"/>
        <v/>
      </c>
      <c r="D35" s="70" t="str">
        <f t="shared" si="24"/>
        <v/>
      </c>
      <c r="E35" s="69"/>
      <c r="F35" s="62" t="str">
        <f t="shared" si="4"/>
        <v/>
      </c>
      <c r="G35" s="70" t="str">
        <f t="shared" si="25"/>
        <v/>
      </c>
      <c r="H35" s="69"/>
      <c r="I35" s="62" t="str">
        <f t="shared" si="5"/>
        <v/>
      </c>
      <c r="J35" s="70" t="str">
        <f t="shared" si="26"/>
        <v/>
      </c>
      <c r="K35" s="74" t="str">
        <f t="shared" si="27"/>
        <v/>
      </c>
      <c r="L35" s="62" t="str">
        <f t="shared" si="28"/>
        <v/>
      </c>
      <c r="M35" s="70" t="str">
        <f t="shared" si="6"/>
        <v/>
      </c>
      <c r="N35" s="69"/>
      <c r="O35" s="62" t="str">
        <f t="shared" si="7"/>
        <v/>
      </c>
      <c r="P35" s="70" t="str">
        <f t="shared" si="8"/>
        <v/>
      </c>
      <c r="Q35" s="69"/>
      <c r="R35" s="62" t="str">
        <f t="shared" si="9"/>
        <v/>
      </c>
      <c r="S35" s="70" t="str">
        <f t="shared" si="10"/>
        <v/>
      </c>
      <c r="T35" s="69"/>
      <c r="U35" s="62" t="str">
        <f t="shared" si="11"/>
        <v/>
      </c>
      <c r="V35" s="70" t="str">
        <f t="shared" si="12"/>
        <v/>
      </c>
      <c r="W35" s="74" t="str">
        <f t="shared" si="29"/>
        <v/>
      </c>
      <c r="X35" s="62" t="str">
        <f t="shared" si="30"/>
        <v/>
      </c>
      <c r="Y35" s="70" t="str">
        <f t="shared" si="13"/>
        <v/>
      </c>
      <c r="Z35" s="69"/>
      <c r="AA35" s="62" t="str">
        <f t="shared" si="14"/>
        <v/>
      </c>
      <c r="AB35" s="70" t="str">
        <f t="shared" si="15"/>
        <v/>
      </c>
      <c r="AC35" s="69"/>
      <c r="AD35" s="62" t="str">
        <f t="shared" si="16"/>
        <v/>
      </c>
      <c r="AE35" s="70" t="str">
        <f t="shared" si="17"/>
        <v/>
      </c>
      <c r="AF35" s="69"/>
      <c r="AG35" s="62" t="str">
        <f t="shared" si="18"/>
        <v/>
      </c>
      <c r="AH35" s="70" t="str">
        <f t="shared" si="19"/>
        <v/>
      </c>
      <c r="AI35" s="74" t="str">
        <f t="shared" si="31"/>
        <v/>
      </c>
      <c r="AJ35" s="62" t="str">
        <f t="shared" si="20"/>
        <v/>
      </c>
      <c r="AK35" s="70" t="str">
        <f t="shared" si="21"/>
        <v/>
      </c>
      <c r="AL35" s="69"/>
      <c r="AM35" s="62" t="str">
        <f t="shared" si="22"/>
        <v/>
      </c>
      <c r="AN35" s="70" t="str">
        <f t="shared" si="23"/>
        <v/>
      </c>
    </row>
    <row r="36" spans="1:40" ht="18" customHeight="1">
      <c r="A36" s="77" t="str">
        <f>IF($C$9="Data Not Entered On Set-Up Worksheet","",IF(OR(VLOOKUP($C$9,County_Lookup,19,FALSE)="",VLOOKUP($C$9,County_Lookup,19,FALSE)=0),"",VLOOKUP($C$9,County_Lookup,19,FALSE)))</f>
        <v/>
      </c>
      <c r="B36" s="69"/>
      <c r="C36" s="62" t="str">
        <f t="shared" si="3"/>
        <v/>
      </c>
      <c r="D36" s="70" t="str">
        <f t="shared" si="24"/>
        <v/>
      </c>
      <c r="E36" s="69"/>
      <c r="F36" s="62" t="str">
        <f t="shared" si="4"/>
        <v/>
      </c>
      <c r="G36" s="70" t="str">
        <f t="shared" si="25"/>
        <v/>
      </c>
      <c r="H36" s="69"/>
      <c r="I36" s="62" t="str">
        <f t="shared" si="5"/>
        <v/>
      </c>
      <c r="J36" s="70" t="str">
        <f t="shared" si="26"/>
        <v/>
      </c>
      <c r="K36" s="74" t="str">
        <f t="shared" si="27"/>
        <v/>
      </c>
      <c r="L36" s="62" t="str">
        <f t="shared" si="28"/>
        <v/>
      </c>
      <c r="M36" s="70" t="str">
        <f t="shared" si="6"/>
        <v/>
      </c>
      <c r="N36" s="69"/>
      <c r="O36" s="62" t="str">
        <f t="shared" si="7"/>
        <v/>
      </c>
      <c r="P36" s="70" t="str">
        <f t="shared" si="8"/>
        <v/>
      </c>
      <c r="Q36" s="69"/>
      <c r="R36" s="62" t="str">
        <f t="shared" si="9"/>
        <v/>
      </c>
      <c r="S36" s="70" t="str">
        <f t="shared" si="10"/>
        <v/>
      </c>
      <c r="T36" s="69"/>
      <c r="U36" s="62" t="str">
        <f t="shared" si="11"/>
        <v/>
      </c>
      <c r="V36" s="70" t="str">
        <f t="shared" si="12"/>
        <v/>
      </c>
      <c r="W36" s="74" t="str">
        <f t="shared" si="29"/>
        <v/>
      </c>
      <c r="X36" s="62" t="str">
        <f t="shared" si="30"/>
        <v/>
      </c>
      <c r="Y36" s="70" t="str">
        <f t="shared" si="13"/>
        <v/>
      </c>
      <c r="Z36" s="69"/>
      <c r="AA36" s="62" t="str">
        <f t="shared" si="14"/>
        <v/>
      </c>
      <c r="AB36" s="70" t="str">
        <f t="shared" si="15"/>
        <v/>
      </c>
      <c r="AC36" s="69"/>
      <c r="AD36" s="62" t="str">
        <f t="shared" si="16"/>
        <v/>
      </c>
      <c r="AE36" s="70" t="str">
        <f t="shared" si="17"/>
        <v/>
      </c>
      <c r="AF36" s="69"/>
      <c r="AG36" s="62" t="str">
        <f t="shared" si="18"/>
        <v/>
      </c>
      <c r="AH36" s="70" t="str">
        <f t="shared" si="19"/>
        <v/>
      </c>
      <c r="AI36" s="74" t="str">
        <f t="shared" si="31"/>
        <v/>
      </c>
      <c r="AJ36" s="62" t="str">
        <f t="shared" si="20"/>
        <v/>
      </c>
      <c r="AK36" s="70" t="str">
        <f t="shared" si="21"/>
        <v/>
      </c>
      <c r="AL36" s="69"/>
      <c r="AM36" s="62" t="str">
        <f t="shared" si="22"/>
        <v/>
      </c>
      <c r="AN36" s="70" t="str">
        <f t="shared" si="23"/>
        <v/>
      </c>
    </row>
    <row r="37" spans="1:40" ht="18" customHeight="1">
      <c r="A37" s="77" t="str">
        <f>IF($C$9="Data Not Entered On Set-Up Worksheet","",IF(OR(VLOOKUP($C$9,County_Lookup,20,FALSE)="",VLOOKUP($C$9,County_Lookup,20,FALSE)=0),"",VLOOKUP($C$9,County_Lookup,20,FALSE)))</f>
        <v/>
      </c>
      <c r="B37" s="69"/>
      <c r="C37" s="62" t="str">
        <f t="shared" si="3"/>
        <v/>
      </c>
      <c r="D37" s="70" t="str">
        <f t="shared" si="24"/>
        <v/>
      </c>
      <c r="E37" s="69"/>
      <c r="F37" s="62" t="str">
        <f t="shared" si="4"/>
        <v/>
      </c>
      <c r="G37" s="70" t="str">
        <f t="shared" si="25"/>
        <v/>
      </c>
      <c r="H37" s="69"/>
      <c r="I37" s="62" t="str">
        <f t="shared" si="5"/>
        <v/>
      </c>
      <c r="J37" s="70" t="str">
        <f t="shared" si="26"/>
        <v/>
      </c>
      <c r="K37" s="74" t="str">
        <f t="shared" si="27"/>
        <v/>
      </c>
      <c r="L37" s="62" t="str">
        <f t="shared" si="28"/>
        <v/>
      </c>
      <c r="M37" s="70" t="str">
        <f t="shared" si="6"/>
        <v/>
      </c>
      <c r="N37" s="69"/>
      <c r="O37" s="62" t="str">
        <f t="shared" si="7"/>
        <v/>
      </c>
      <c r="P37" s="70" t="str">
        <f t="shared" si="8"/>
        <v/>
      </c>
      <c r="Q37" s="69"/>
      <c r="R37" s="62" t="str">
        <f t="shared" si="9"/>
        <v/>
      </c>
      <c r="S37" s="70" t="str">
        <f t="shared" si="10"/>
        <v/>
      </c>
      <c r="T37" s="69"/>
      <c r="U37" s="62" t="str">
        <f t="shared" si="11"/>
        <v/>
      </c>
      <c r="V37" s="70" t="str">
        <f t="shared" si="12"/>
        <v/>
      </c>
      <c r="W37" s="74" t="str">
        <f t="shared" si="29"/>
        <v/>
      </c>
      <c r="X37" s="62" t="str">
        <f t="shared" si="30"/>
        <v/>
      </c>
      <c r="Y37" s="70" t="str">
        <f t="shared" si="13"/>
        <v/>
      </c>
      <c r="Z37" s="69"/>
      <c r="AA37" s="62" t="str">
        <f t="shared" si="14"/>
        <v/>
      </c>
      <c r="AB37" s="70" t="str">
        <f t="shared" si="15"/>
        <v/>
      </c>
      <c r="AC37" s="69"/>
      <c r="AD37" s="62" t="str">
        <f t="shared" si="16"/>
        <v/>
      </c>
      <c r="AE37" s="70" t="str">
        <f t="shared" si="17"/>
        <v/>
      </c>
      <c r="AF37" s="69"/>
      <c r="AG37" s="62" t="str">
        <f t="shared" si="18"/>
        <v/>
      </c>
      <c r="AH37" s="70" t="str">
        <f t="shared" si="19"/>
        <v/>
      </c>
      <c r="AI37" s="74" t="str">
        <f t="shared" si="31"/>
        <v/>
      </c>
      <c r="AJ37" s="62" t="str">
        <f t="shared" si="20"/>
        <v/>
      </c>
      <c r="AK37" s="70" t="str">
        <f t="shared" si="21"/>
        <v/>
      </c>
      <c r="AL37" s="69"/>
      <c r="AM37" s="62" t="str">
        <f t="shared" si="22"/>
        <v/>
      </c>
      <c r="AN37" s="70" t="str">
        <f t="shared" si="23"/>
        <v/>
      </c>
    </row>
    <row r="38" spans="1:40" ht="18" customHeight="1">
      <c r="A38" s="77" t="str">
        <f>IF($C$9="Data Not Entered On Set-Up Worksheet","",IF(OR(VLOOKUP($C$9,County_Lookup,21,FALSE)="",VLOOKUP($C$9,County_Lookup,21,FALSE)=0),"",VLOOKUP($C$9,County_Lookup,21,FALSE)))</f>
        <v/>
      </c>
      <c r="B38" s="69"/>
      <c r="C38" s="62" t="str">
        <f t="shared" si="3"/>
        <v/>
      </c>
      <c r="D38" s="70" t="str">
        <f t="shared" si="24"/>
        <v/>
      </c>
      <c r="E38" s="69"/>
      <c r="F38" s="62" t="str">
        <f t="shared" si="4"/>
        <v/>
      </c>
      <c r="G38" s="70" t="str">
        <f t="shared" si="25"/>
        <v/>
      </c>
      <c r="H38" s="69"/>
      <c r="I38" s="62" t="str">
        <f t="shared" si="5"/>
        <v/>
      </c>
      <c r="J38" s="70" t="str">
        <f t="shared" si="26"/>
        <v/>
      </c>
      <c r="K38" s="74" t="str">
        <f t="shared" si="27"/>
        <v/>
      </c>
      <c r="L38" s="62" t="str">
        <f t="shared" si="28"/>
        <v/>
      </c>
      <c r="M38" s="70" t="str">
        <f t="shared" si="6"/>
        <v/>
      </c>
      <c r="N38" s="69"/>
      <c r="O38" s="62" t="str">
        <f t="shared" si="7"/>
        <v/>
      </c>
      <c r="P38" s="70" t="str">
        <f t="shared" si="8"/>
        <v/>
      </c>
      <c r="Q38" s="69"/>
      <c r="R38" s="62" t="str">
        <f t="shared" si="9"/>
        <v/>
      </c>
      <c r="S38" s="70" t="str">
        <f t="shared" si="10"/>
        <v/>
      </c>
      <c r="T38" s="69"/>
      <c r="U38" s="62" t="str">
        <f t="shared" si="11"/>
        <v/>
      </c>
      <c r="V38" s="70" t="str">
        <f t="shared" si="12"/>
        <v/>
      </c>
      <c r="W38" s="74" t="str">
        <f t="shared" si="29"/>
        <v/>
      </c>
      <c r="X38" s="62" t="str">
        <f t="shared" si="30"/>
        <v/>
      </c>
      <c r="Y38" s="70" t="str">
        <f t="shared" si="13"/>
        <v/>
      </c>
      <c r="Z38" s="69"/>
      <c r="AA38" s="62" t="str">
        <f t="shared" si="14"/>
        <v/>
      </c>
      <c r="AB38" s="70" t="str">
        <f t="shared" si="15"/>
        <v/>
      </c>
      <c r="AC38" s="69"/>
      <c r="AD38" s="62" t="str">
        <f t="shared" si="16"/>
        <v/>
      </c>
      <c r="AE38" s="70" t="str">
        <f t="shared" si="17"/>
        <v/>
      </c>
      <c r="AF38" s="69"/>
      <c r="AG38" s="62" t="str">
        <f t="shared" si="18"/>
        <v/>
      </c>
      <c r="AH38" s="70" t="str">
        <f t="shared" si="19"/>
        <v/>
      </c>
      <c r="AI38" s="74" t="str">
        <f t="shared" si="31"/>
        <v/>
      </c>
      <c r="AJ38" s="62" t="str">
        <f t="shared" si="20"/>
        <v/>
      </c>
      <c r="AK38" s="70" t="str">
        <f t="shared" si="21"/>
        <v/>
      </c>
      <c r="AL38" s="69"/>
      <c r="AM38" s="62" t="str">
        <f t="shared" si="22"/>
        <v/>
      </c>
      <c r="AN38" s="70" t="str">
        <f t="shared" si="23"/>
        <v/>
      </c>
    </row>
    <row r="39" spans="1:40" ht="18" customHeight="1">
      <c r="A39" s="76" t="str">
        <f>IF($C$9="Data Not Entered On Set-Up Worksheet","",IF(OR(VLOOKUP($C$9,County_Lookup,22,FALSE)="",VLOOKUP($C$9,County_Lookup,22,FALSE)=0),"",VLOOKUP($C$9,County_Lookup,22,FALSE)))</f>
        <v/>
      </c>
      <c r="B39" s="69"/>
      <c r="C39" s="62" t="str">
        <f t="shared" si="3"/>
        <v/>
      </c>
      <c r="D39" s="70" t="str">
        <f t="shared" si="24"/>
        <v/>
      </c>
      <c r="E39" s="69"/>
      <c r="F39" s="62" t="str">
        <f t="shared" si="4"/>
        <v/>
      </c>
      <c r="G39" s="70" t="str">
        <f t="shared" si="25"/>
        <v/>
      </c>
      <c r="H39" s="69"/>
      <c r="I39" s="62" t="str">
        <f t="shared" si="5"/>
        <v/>
      </c>
      <c r="J39" s="70" t="str">
        <f t="shared" si="26"/>
        <v/>
      </c>
      <c r="K39" s="74" t="str">
        <f t="shared" si="27"/>
        <v/>
      </c>
      <c r="L39" s="62" t="str">
        <f t="shared" si="28"/>
        <v/>
      </c>
      <c r="M39" s="70" t="str">
        <f t="shared" si="6"/>
        <v/>
      </c>
      <c r="N39" s="69"/>
      <c r="O39" s="62" t="str">
        <f t="shared" si="7"/>
        <v/>
      </c>
      <c r="P39" s="70" t="str">
        <f t="shared" si="8"/>
        <v/>
      </c>
      <c r="Q39" s="69"/>
      <c r="R39" s="62" t="str">
        <f t="shared" si="9"/>
        <v/>
      </c>
      <c r="S39" s="70" t="str">
        <f t="shared" si="10"/>
        <v/>
      </c>
      <c r="T39" s="69"/>
      <c r="U39" s="62" t="str">
        <f t="shared" si="11"/>
        <v/>
      </c>
      <c r="V39" s="70" t="str">
        <f t="shared" si="12"/>
        <v/>
      </c>
      <c r="W39" s="74" t="str">
        <f t="shared" si="29"/>
        <v/>
      </c>
      <c r="X39" s="62" t="str">
        <f t="shared" si="30"/>
        <v/>
      </c>
      <c r="Y39" s="70" t="str">
        <f t="shared" si="13"/>
        <v/>
      </c>
      <c r="Z39" s="69"/>
      <c r="AA39" s="62" t="str">
        <f t="shared" si="14"/>
        <v/>
      </c>
      <c r="AB39" s="70" t="str">
        <f t="shared" si="15"/>
        <v/>
      </c>
      <c r="AC39" s="69"/>
      <c r="AD39" s="62" t="str">
        <f t="shared" si="16"/>
        <v/>
      </c>
      <c r="AE39" s="70" t="str">
        <f t="shared" si="17"/>
        <v/>
      </c>
      <c r="AF39" s="69"/>
      <c r="AG39" s="62" t="str">
        <f t="shared" si="18"/>
        <v/>
      </c>
      <c r="AH39" s="70" t="str">
        <f t="shared" si="19"/>
        <v/>
      </c>
      <c r="AI39" s="74" t="str">
        <f t="shared" si="31"/>
        <v/>
      </c>
      <c r="AJ39" s="62" t="str">
        <f t="shared" si="20"/>
        <v/>
      </c>
      <c r="AK39" s="70" t="str">
        <f t="shared" si="21"/>
        <v/>
      </c>
      <c r="AL39" s="69"/>
      <c r="AM39" s="62" t="str">
        <f t="shared" si="22"/>
        <v/>
      </c>
      <c r="AN39" s="70" t="str">
        <f t="shared" si="23"/>
        <v/>
      </c>
    </row>
    <row r="40" spans="1:40" ht="18" customHeight="1">
      <c r="A40" s="77" t="str">
        <f>IF($C$9="Data Not Entered On Set-Up Worksheet","",IF(OR(VLOOKUP($C$9,County_Lookup,23,FALSE)="",VLOOKUP($C$9,County_Lookup,23,FALSE)=0),"",VLOOKUP($C$9,County_Lookup,23,FALSE)))</f>
        <v/>
      </c>
      <c r="B40" s="69"/>
      <c r="C40" s="62" t="str">
        <f t="shared" si="3"/>
        <v/>
      </c>
      <c r="D40" s="70" t="str">
        <f t="shared" si="24"/>
        <v/>
      </c>
      <c r="E40" s="69"/>
      <c r="F40" s="62" t="str">
        <f t="shared" si="4"/>
        <v/>
      </c>
      <c r="G40" s="70" t="str">
        <f t="shared" si="25"/>
        <v/>
      </c>
      <c r="H40" s="69"/>
      <c r="I40" s="62" t="str">
        <f t="shared" si="5"/>
        <v/>
      </c>
      <c r="J40" s="70" t="str">
        <f t="shared" si="26"/>
        <v/>
      </c>
      <c r="K40" s="74" t="str">
        <f t="shared" si="27"/>
        <v/>
      </c>
      <c r="L40" s="62" t="str">
        <f t="shared" si="28"/>
        <v/>
      </c>
      <c r="M40" s="70" t="str">
        <f t="shared" si="6"/>
        <v/>
      </c>
      <c r="N40" s="69"/>
      <c r="O40" s="62" t="str">
        <f t="shared" si="7"/>
        <v/>
      </c>
      <c r="P40" s="70" t="str">
        <f t="shared" si="8"/>
        <v/>
      </c>
      <c r="Q40" s="69"/>
      <c r="R40" s="62" t="str">
        <f t="shared" si="9"/>
        <v/>
      </c>
      <c r="S40" s="70" t="str">
        <f t="shared" si="10"/>
        <v/>
      </c>
      <c r="T40" s="69"/>
      <c r="U40" s="62" t="str">
        <f t="shared" si="11"/>
        <v/>
      </c>
      <c r="V40" s="70" t="str">
        <f t="shared" si="12"/>
        <v/>
      </c>
      <c r="W40" s="74" t="str">
        <f t="shared" si="29"/>
        <v/>
      </c>
      <c r="X40" s="62" t="str">
        <f t="shared" si="30"/>
        <v/>
      </c>
      <c r="Y40" s="70" t="str">
        <f t="shared" si="13"/>
        <v/>
      </c>
      <c r="Z40" s="69"/>
      <c r="AA40" s="62" t="str">
        <f t="shared" si="14"/>
        <v/>
      </c>
      <c r="AB40" s="70" t="str">
        <f t="shared" si="15"/>
        <v/>
      </c>
      <c r="AC40" s="69"/>
      <c r="AD40" s="62" t="str">
        <f t="shared" si="16"/>
        <v/>
      </c>
      <c r="AE40" s="70" t="str">
        <f t="shared" si="17"/>
        <v/>
      </c>
      <c r="AF40" s="69"/>
      <c r="AG40" s="62" t="str">
        <f t="shared" si="18"/>
        <v/>
      </c>
      <c r="AH40" s="70" t="str">
        <f t="shared" si="19"/>
        <v/>
      </c>
      <c r="AI40" s="74" t="str">
        <f t="shared" si="31"/>
        <v/>
      </c>
      <c r="AJ40" s="62" t="str">
        <f t="shared" si="20"/>
        <v/>
      </c>
      <c r="AK40" s="70" t="str">
        <f t="shared" si="21"/>
        <v/>
      </c>
      <c r="AL40" s="69"/>
      <c r="AM40" s="62" t="str">
        <f t="shared" si="22"/>
        <v/>
      </c>
      <c r="AN40" s="70" t="str">
        <f t="shared" si="23"/>
        <v/>
      </c>
    </row>
    <row r="41" spans="1:40" ht="18" customHeight="1">
      <c r="A41" s="77" t="str">
        <f>IF($C$9="Data Not Entered On Set-Up Worksheet","",IF(OR(VLOOKUP($C$9,County_Lookup,24,FALSE)="",VLOOKUP($C$9,County_Lookup,24,FALSE)=0),"",VLOOKUP($C$9,County_Lookup,24,FALSE)))</f>
        <v/>
      </c>
      <c r="B41" s="69"/>
      <c r="C41" s="62" t="str">
        <f t="shared" si="3"/>
        <v/>
      </c>
      <c r="D41" s="70" t="str">
        <f t="shared" si="24"/>
        <v/>
      </c>
      <c r="E41" s="69"/>
      <c r="F41" s="62" t="str">
        <f t="shared" si="4"/>
        <v/>
      </c>
      <c r="G41" s="70" t="str">
        <f t="shared" si="25"/>
        <v/>
      </c>
      <c r="H41" s="69"/>
      <c r="I41" s="62" t="str">
        <f t="shared" si="5"/>
        <v/>
      </c>
      <c r="J41" s="70" t="str">
        <f t="shared" si="26"/>
        <v/>
      </c>
      <c r="K41" s="74" t="str">
        <f t="shared" ref="K41" si="32">IF($A41="","",SUM(E41,H41))</f>
        <v/>
      </c>
      <c r="L41" s="62" t="str">
        <f t="shared" si="28"/>
        <v/>
      </c>
      <c r="M41" s="70" t="str">
        <f t="shared" si="6"/>
        <v/>
      </c>
      <c r="N41" s="69"/>
      <c r="O41" s="62" t="str">
        <f t="shared" si="7"/>
        <v/>
      </c>
      <c r="P41" s="70" t="str">
        <f t="shared" si="8"/>
        <v/>
      </c>
      <c r="Q41" s="69"/>
      <c r="R41" s="62" t="str">
        <f t="shared" si="9"/>
        <v/>
      </c>
      <c r="S41" s="70" t="str">
        <f t="shared" si="10"/>
        <v/>
      </c>
      <c r="T41" s="69"/>
      <c r="U41" s="62" t="str">
        <f t="shared" si="11"/>
        <v/>
      </c>
      <c r="V41" s="70" t="str">
        <f t="shared" si="12"/>
        <v/>
      </c>
      <c r="W41" s="74" t="str">
        <f t="shared" ref="W41" si="33">IF($A41="","",SUM(Q41,T41))</f>
        <v/>
      </c>
      <c r="X41" s="62" t="str">
        <f t="shared" si="30"/>
        <v/>
      </c>
      <c r="Y41" s="70" t="str">
        <f t="shared" si="13"/>
        <v/>
      </c>
      <c r="Z41" s="69"/>
      <c r="AA41" s="62" t="str">
        <f t="shared" si="14"/>
        <v/>
      </c>
      <c r="AB41" s="70" t="str">
        <f t="shared" si="15"/>
        <v/>
      </c>
      <c r="AC41" s="69"/>
      <c r="AD41" s="62" t="str">
        <f t="shared" si="16"/>
        <v/>
      </c>
      <c r="AE41" s="70" t="str">
        <f t="shared" si="17"/>
        <v/>
      </c>
      <c r="AF41" s="69"/>
      <c r="AG41" s="62" t="str">
        <f t="shared" si="18"/>
        <v/>
      </c>
      <c r="AH41" s="70" t="str">
        <f t="shared" si="19"/>
        <v/>
      </c>
      <c r="AI41" s="74" t="str">
        <f t="shared" ref="AI41" si="34">IF($A41="","",SUM(AC41,AF41))</f>
        <v/>
      </c>
      <c r="AJ41" s="62" t="str">
        <f t="shared" si="20"/>
        <v/>
      </c>
      <c r="AK41" s="70" t="str">
        <f t="shared" si="21"/>
        <v/>
      </c>
      <c r="AL41" s="69"/>
      <c r="AM41" s="62" t="str">
        <f t="shared" si="22"/>
        <v/>
      </c>
      <c r="AN41" s="70" t="str">
        <f t="shared" si="23"/>
        <v/>
      </c>
    </row>
    <row r="42" spans="1:40" ht="18" customHeight="1">
      <c r="A42" s="77" t="str">
        <f>IF($C$9="Data Not Entered On Set-Up Worksheet","",IF(OR(VLOOKUP($C$9,County_Lookup,25,FALSE)="",VLOOKUP($C$9,County_Lookup,25,FALSE)=0),"",VLOOKUP($C$9,County_Lookup,25,FALSE)))</f>
        <v/>
      </c>
      <c r="B42" s="69"/>
      <c r="C42" s="62" t="str">
        <f t="shared" si="3"/>
        <v/>
      </c>
      <c r="D42" s="70" t="str">
        <f t="shared" si="24"/>
        <v/>
      </c>
      <c r="E42" s="69"/>
      <c r="F42" s="62" t="str">
        <f t="shared" si="4"/>
        <v/>
      </c>
      <c r="G42" s="70" t="str">
        <f t="shared" si="25"/>
        <v/>
      </c>
      <c r="H42" s="69"/>
      <c r="I42" s="62" t="str">
        <f t="shared" si="5"/>
        <v/>
      </c>
      <c r="J42" s="70" t="str">
        <f t="shared" si="26"/>
        <v/>
      </c>
      <c r="K42" s="74" t="str">
        <f t="shared" si="27"/>
        <v/>
      </c>
      <c r="L42" s="62" t="str">
        <f t="shared" si="28"/>
        <v/>
      </c>
      <c r="M42" s="70" t="str">
        <f t="shared" si="6"/>
        <v/>
      </c>
      <c r="N42" s="69"/>
      <c r="O42" s="62" t="str">
        <f t="shared" si="7"/>
        <v/>
      </c>
      <c r="P42" s="70" t="str">
        <f t="shared" si="8"/>
        <v/>
      </c>
      <c r="Q42" s="69"/>
      <c r="R42" s="62" t="str">
        <f t="shared" si="9"/>
        <v/>
      </c>
      <c r="S42" s="70" t="str">
        <f t="shared" si="10"/>
        <v/>
      </c>
      <c r="T42" s="69"/>
      <c r="U42" s="62" t="str">
        <f t="shared" si="11"/>
        <v/>
      </c>
      <c r="V42" s="70" t="str">
        <f t="shared" si="12"/>
        <v/>
      </c>
      <c r="W42" s="74" t="str">
        <f t="shared" si="29"/>
        <v/>
      </c>
      <c r="X42" s="62" t="str">
        <f t="shared" si="30"/>
        <v/>
      </c>
      <c r="Y42" s="70" t="str">
        <f t="shared" si="13"/>
        <v/>
      </c>
      <c r="Z42" s="69"/>
      <c r="AA42" s="62" t="str">
        <f t="shared" si="14"/>
        <v/>
      </c>
      <c r="AB42" s="70" t="str">
        <f t="shared" si="15"/>
        <v/>
      </c>
      <c r="AC42" s="69"/>
      <c r="AD42" s="62" t="str">
        <f t="shared" si="16"/>
        <v/>
      </c>
      <c r="AE42" s="70" t="str">
        <f t="shared" si="17"/>
        <v/>
      </c>
      <c r="AF42" s="69"/>
      <c r="AG42" s="62" t="str">
        <f t="shared" si="18"/>
        <v/>
      </c>
      <c r="AH42" s="70" t="str">
        <f t="shared" si="19"/>
        <v/>
      </c>
      <c r="AI42" s="74" t="str">
        <f t="shared" si="31"/>
        <v/>
      </c>
      <c r="AJ42" s="62" t="str">
        <f t="shared" si="20"/>
        <v/>
      </c>
      <c r="AK42" s="70" t="str">
        <f t="shared" si="21"/>
        <v/>
      </c>
      <c r="AL42" s="69"/>
      <c r="AM42" s="62" t="str">
        <f t="shared" si="22"/>
        <v/>
      </c>
      <c r="AN42" s="70" t="str">
        <f t="shared" si="23"/>
        <v/>
      </c>
    </row>
    <row r="43" spans="1:40" ht="18" customHeight="1" thickBot="1">
      <c r="A43" s="78" t="s">
        <v>0</v>
      </c>
      <c r="B43" s="71">
        <f>SUM(B19:B42)</f>
        <v>0</v>
      </c>
      <c r="C43" s="72">
        <f>SUM(C19:C42)</f>
        <v>0</v>
      </c>
      <c r="D43" s="73">
        <f t="shared" ref="D43" si="35">IF(C43=0,0,B43/C43)</f>
        <v>0</v>
      </c>
      <c r="E43" s="71">
        <f>SUM(E19:E42)</f>
        <v>0</v>
      </c>
      <c r="F43" s="72">
        <f>SUM(F19:F42)</f>
        <v>0</v>
      </c>
      <c r="G43" s="73">
        <f t="shared" ref="G43" si="36">IF(F43=0,0,E43/F43)</f>
        <v>0</v>
      </c>
      <c r="H43" s="71">
        <f>SUM(H19:H42)</f>
        <v>0</v>
      </c>
      <c r="I43" s="72">
        <f>SUM(I19:I42)</f>
        <v>0</v>
      </c>
      <c r="J43" s="73">
        <f t="shared" ref="J43" si="37">IF(I43=0,0,H43/I43)</f>
        <v>0</v>
      </c>
      <c r="K43" s="71">
        <f>SUM(K19:K42)</f>
        <v>0</v>
      </c>
      <c r="L43" s="72">
        <f>SUM(L19:L42)</f>
        <v>0</v>
      </c>
      <c r="M43" s="73">
        <f t="shared" ref="M43" si="38">IF(L43=0,0,K43/L43)</f>
        <v>0</v>
      </c>
      <c r="N43" s="71">
        <f>SUM(N19:N42)</f>
        <v>0</v>
      </c>
      <c r="O43" s="72">
        <f>SUM(O19:O42)</f>
        <v>0</v>
      </c>
      <c r="P43" s="73">
        <f t="shared" ref="P43" si="39">IF(O43=0,0,N43/O43)</f>
        <v>0</v>
      </c>
      <c r="Q43" s="71">
        <f>SUM(Q19:Q42)</f>
        <v>0</v>
      </c>
      <c r="R43" s="72">
        <f>SUM(R19:R42)</f>
        <v>0</v>
      </c>
      <c r="S43" s="73">
        <f t="shared" ref="S43" si="40">IF(R43=0,0,Q43/R43)</f>
        <v>0</v>
      </c>
      <c r="T43" s="71">
        <f>SUM(T19:T42)</f>
        <v>0</v>
      </c>
      <c r="U43" s="72">
        <f>SUM(U19:U42)</f>
        <v>0</v>
      </c>
      <c r="V43" s="73">
        <f t="shared" ref="V43" si="41">IF(U43=0,0,T43/U43)</f>
        <v>0</v>
      </c>
      <c r="W43" s="71">
        <f>SUM(W19:W42)</f>
        <v>0</v>
      </c>
      <c r="X43" s="72">
        <f>SUM(X19:X42)</f>
        <v>0</v>
      </c>
      <c r="Y43" s="73">
        <f t="shared" ref="Y43" si="42">IF(X43=0,0,W43/X43)</f>
        <v>0</v>
      </c>
      <c r="Z43" s="71">
        <f>SUM(Z19:Z42)</f>
        <v>0</v>
      </c>
      <c r="AA43" s="72">
        <f>SUM(AA19:AA42)</f>
        <v>0</v>
      </c>
      <c r="AB43" s="73">
        <f t="shared" ref="AB43" si="43">IF(AA43=0,0,Z43/AA43)</f>
        <v>0</v>
      </c>
      <c r="AC43" s="71">
        <f>SUM(AC19:AC42)</f>
        <v>0</v>
      </c>
      <c r="AD43" s="72">
        <f>SUM(AD19:AD42)</f>
        <v>0</v>
      </c>
      <c r="AE43" s="73">
        <f t="shared" ref="AE43" si="44">IF(AD43=0,0,AC43/AD43)</f>
        <v>0</v>
      </c>
      <c r="AF43" s="71">
        <f>SUM(AF19:AF42)</f>
        <v>0</v>
      </c>
      <c r="AG43" s="72">
        <f>SUM(AG19:AG42)</f>
        <v>0</v>
      </c>
      <c r="AH43" s="73">
        <f t="shared" ref="AH43" si="45">IF(AG43=0,0,AF43/AG43)</f>
        <v>0</v>
      </c>
      <c r="AI43" s="71">
        <f>SUM(AI19:AI42)</f>
        <v>0</v>
      </c>
      <c r="AJ43" s="72">
        <f>SUM(AJ19:AJ42)</f>
        <v>0</v>
      </c>
      <c r="AK43" s="73">
        <f t="shared" ref="AK43" si="46">IF(AJ43=0,0,AI43/AJ43)</f>
        <v>0</v>
      </c>
      <c r="AL43" s="71">
        <f>SUM(AL19:AL42)</f>
        <v>0</v>
      </c>
      <c r="AM43" s="72">
        <f>SUM(AM19:AM42)</f>
        <v>0</v>
      </c>
      <c r="AN43" s="73">
        <f t="shared" ref="AN43" si="47">IF(AM43=0,0,AL43/AM43)</f>
        <v>0</v>
      </c>
    </row>
    <row r="45" spans="1:40" ht="20.100000000000001" customHeight="1">
      <c r="A45" s="312" t="s">
        <v>310</v>
      </c>
      <c r="B45" s="243"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2015 - Jun 2016)</v>
      </c>
      <c r="C45" s="243"/>
      <c r="D45" s="243"/>
      <c r="E45" s="243"/>
      <c r="F45" s="243"/>
      <c r="G45" s="243"/>
      <c r="H45" s="243"/>
      <c r="I45" s="243"/>
      <c r="J45" s="243"/>
      <c r="K45" s="243"/>
      <c r="L45" s="243"/>
      <c r="M45" s="243"/>
      <c r="N45" s="243" t="str">
        <f>$B$45</f>
        <v>State Fiscal Year-To-Date (Jul 2015 - Jun 2016)</v>
      </c>
      <c r="O45" s="243"/>
      <c r="P45" s="243"/>
      <c r="Q45" s="243"/>
      <c r="R45" s="243"/>
      <c r="S45" s="243"/>
      <c r="T45" s="243"/>
      <c r="U45" s="243"/>
      <c r="V45" s="243"/>
      <c r="W45" s="243"/>
      <c r="X45" s="243"/>
      <c r="Y45" s="243"/>
      <c r="Z45" s="243" t="str">
        <f>$B$45</f>
        <v>State Fiscal Year-To-Date (Jul 2015 - Jun 2016)</v>
      </c>
      <c r="AA45" s="243"/>
      <c r="AB45" s="243"/>
      <c r="AC45" s="243"/>
      <c r="AD45" s="243"/>
      <c r="AE45" s="243"/>
      <c r="AF45" s="243"/>
      <c r="AG45" s="243"/>
      <c r="AH45" s="243"/>
      <c r="AI45" s="243"/>
      <c r="AJ45" s="243"/>
      <c r="AK45" s="243"/>
      <c r="AL45" s="243" t="str">
        <f>$B$45</f>
        <v>State Fiscal Year-To-Date (Jul 2015 - Jun 2016)</v>
      </c>
      <c r="AM45" s="44"/>
      <c r="AN45" s="44"/>
    </row>
    <row r="46" spans="1:40" ht="13.5" thickBot="1"/>
    <row r="47" spans="1:40" ht="18" customHeight="1" thickBot="1">
      <c r="A47" s="226" t="s">
        <v>254</v>
      </c>
      <c r="B47" s="234" t="s">
        <v>251</v>
      </c>
      <c r="C47" s="235"/>
      <c r="D47" s="236"/>
      <c r="E47" s="63" t="s">
        <v>252</v>
      </c>
      <c r="F47" s="231"/>
      <c r="G47" s="231"/>
      <c r="H47" s="231"/>
      <c r="I47" s="231"/>
      <c r="J47" s="231"/>
      <c r="K47" s="231"/>
      <c r="L47" s="231"/>
      <c r="M47" s="232"/>
      <c r="N47" s="234" t="s">
        <v>256</v>
      </c>
      <c r="O47" s="235"/>
      <c r="P47" s="236"/>
      <c r="Q47" s="63" t="s">
        <v>257</v>
      </c>
      <c r="R47" s="231"/>
      <c r="S47" s="231"/>
      <c r="T47" s="231"/>
      <c r="U47" s="231"/>
      <c r="V47" s="231"/>
      <c r="W47" s="231"/>
      <c r="X47" s="231"/>
      <c r="Y47" s="232"/>
      <c r="Z47" s="234" t="s">
        <v>258</v>
      </c>
      <c r="AA47" s="235"/>
      <c r="AB47" s="236"/>
      <c r="AC47" s="63" t="s">
        <v>259</v>
      </c>
      <c r="AD47" s="231"/>
      <c r="AE47" s="231"/>
      <c r="AF47" s="231"/>
      <c r="AG47" s="231"/>
      <c r="AH47" s="231"/>
      <c r="AI47" s="231"/>
      <c r="AJ47" s="231"/>
      <c r="AK47" s="232"/>
      <c r="AL47" s="234" t="s">
        <v>263</v>
      </c>
      <c r="AM47" s="235"/>
      <c r="AN47" s="236"/>
    </row>
    <row r="48" spans="1:40" s="35" customFormat="1" ht="18" customHeight="1" thickBot="1">
      <c r="A48" s="233" t="s">
        <v>255</v>
      </c>
      <c r="B48" s="234" t="s">
        <v>249</v>
      </c>
      <c r="C48" s="237"/>
      <c r="D48" s="238"/>
      <c r="E48" s="63" t="s">
        <v>146</v>
      </c>
      <c r="F48" s="64"/>
      <c r="G48" s="65"/>
      <c r="H48" s="63" t="s">
        <v>297</v>
      </c>
      <c r="I48" s="64"/>
      <c r="J48" s="65"/>
      <c r="K48" s="63" t="s">
        <v>298</v>
      </c>
      <c r="L48" s="64"/>
      <c r="M48" s="65"/>
      <c r="N48" s="234" t="s">
        <v>249</v>
      </c>
      <c r="O48" s="237"/>
      <c r="P48" s="238"/>
      <c r="Q48" s="63" t="s">
        <v>146</v>
      </c>
      <c r="R48" s="64"/>
      <c r="S48" s="65"/>
      <c r="T48" s="63" t="s">
        <v>297</v>
      </c>
      <c r="U48" s="64"/>
      <c r="V48" s="65"/>
      <c r="W48" s="63" t="s">
        <v>298</v>
      </c>
      <c r="X48" s="64"/>
      <c r="Y48" s="65"/>
      <c r="Z48" s="234" t="s">
        <v>249</v>
      </c>
      <c r="AA48" s="237"/>
      <c r="AB48" s="238"/>
      <c r="AC48" s="63" t="s">
        <v>146</v>
      </c>
      <c r="AD48" s="64"/>
      <c r="AE48" s="65"/>
      <c r="AF48" s="63" t="s">
        <v>297</v>
      </c>
      <c r="AG48" s="64"/>
      <c r="AH48" s="65"/>
      <c r="AI48" s="63" t="s">
        <v>298</v>
      </c>
      <c r="AJ48" s="64"/>
      <c r="AK48" s="65"/>
      <c r="AL48" s="234" t="s">
        <v>299</v>
      </c>
      <c r="AM48" s="237"/>
      <c r="AN48" s="238"/>
    </row>
    <row r="49" spans="1:46" s="35" customFormat="1" ht="13.5" thickBot="1">
      <c r="A49" s="30"/>
      <c r="B49" s="56" t="s">
        <v>3</v>
      </c>
      <c r="C49" s="57" t="s">
        <v>4</v>
      </c>
      <c r="D49" s="58" t="s">
        <v>5</v>
      </c>
      <c r="E49" s="56" t="s">
        <v>3</v>
      </c>
      <c r="F49" s="57" t="s">
        <v>4</v>
      </c>
      <c r="G49" s="58" t="s">
        <v>5</v>
      </c>
      <c r="H49" s="56" t="s">
        <v>3</v>
      </c>
      <c r="I49" s="57" t="s">
        <v>4</v>
      </c>
      <c r="J49" s="58" t="s">
        <v>5</v>
      </c>
      <c r="K49" s="56" t="s">
        <v>3</v>
      </c>
      <c r="L49" s="57" t="s">
        <v>4</v>
      </c>
      <c r="M49" s="58" t="s">
        <v>5</v>
      </c>
      <c r="N49" s="56" t="s">
        <v>3</v>
      </c>
      <c r="O49" s="57" t="s">
        <v>4</v>
      </c>
      <c r="P49" s="58" t="s">
        <v>5</v>
      </c>
      <c r="Q49" s="56" t="s">
        <v>3</v>
      </c>
      <c r="R49" s="57" t="s">
        <v>4</v>
      </c>
      <c r="S49" s="58" t="s">
        <v>5</v>
      </c>
      <c r="T49" s="56" t="s">
        <v>3</v>
      </c>
      <c r="U49" s="57" t="s">
        <v>4</v>
      </c>
      <c r="V49" s="58" t="s">
        <v>5</v>
      </c>
      <c r="W49" s="56" t="s">
        <v>3</v>
      </c>
      <c r="X49" s="57" t="s">
        <v>4</v>
      </c>
      <c r="Y49" s="58" t="s">
        <v>5</v>
      </c>
      <c r="Z49" s="56" t="s">
        <v>3</v>
      </c>
      <c r="AA49" s="57" t="s">
        <v>4</v>
      </c>
      <c r="AB49" s="58" t="s">
        <v>5</v>
      </c>
      <c r="AC49" s="56" t="s">
        <v>3</v>
      </c>
      <c r="AD49" s="57" t="s">
        <v>4</v>
      </c>
      <c r="AE49" s="58" t="s">
        <v>5</v>
      </c>
      <c r="AF49" s="56" t="s">
        <v>3</v>
      </c>
      <c r="AG49" s="57" t="s">
        <v>4</v>
      </c>
      <c r="AH49" s="58" t="s">
        <v>5</v>
      </c>
      <c r="AI49" s="56" t="s">
        <v>3</v>
      </c>
      <c r="AJ49" s="57" t="s">
        <v>4</v>
      </c>
      <c r="AK49" s="58" t="s">
        <v>5</v>
      </c>
      <c r="AL49" s="56" t="s">
        <v>3</v>
      </c>
      <c r="AM49" s="57" t="s">
        <v>4</v>
      </c>
      <c r="AN49" s="58" t="s">
        <v>5</v>
      </c>
      <c r="AO49" s="33"/>
      <c r="AP49" s="30"/>
      <c r="AQ49" s="30"/>
      <c r="AR49" s="30"/>
      <c r="AS49" s="30"/>
      <c r="AT49" s="30"/>
    </row>
    <row r="50" spans="1:46" ht="39.950000000000003" customHeight="1">
      <c r="A50" s="75" t="s">
        <v>43</v>
      </c>
      <c r="B50" s="239" t="s">
        <v>434</v>
      </c>
      <c r="C50" s="240" t="s">
        <v>267</v>
      </c>
      <c r="D50" s="241" t="s">
        <v>435</v>
      </c>
      <c r="E50" s="66" t="s">
        <v>434</v>
      </c>
      <c r="F50" s="67" t="s">
        <v>267</v>
      </c>
      <c r="G50" s="68" t="s">
        <v>435</v>
      </c>
      <c r="H50" s="66" t="s">
        <v>434</v>
      </c>
      <c r="I50" s="67" t="s">
        <v>267</v>
      </c>
      <c r="J50" s="68" t="s">
        <v>435</v>
      </c>
      <c r="K50" s="66" t="s">
        <v>434</v>
      </c>
      <c r="L50" s="67" t="s">
        <v>267</v>
      </c>
      <c r="M50" s="68" t="s">
        <v>435</v>
      </c>
      <c r="N50" s="239" t="s">
        <v>434</v>
      </c>
      <c r="O50" s="240" t="s">
        <v>267</v>
      </c>
      <c r="P50" s="241" t="s">
        <v>435</v>
      </c>
      <c r="Q50" s="66" t="s">
        <v>434</v>
      </c>
      <c r="R50" s="67" t="s">
        <v>267</v>
      </c>
      <c r="S50" s="68" t="s">
        <v>435</v>
      </c>
      <c r="T50" s="66" t="s">
        <v>434</v>
      </c>
      <c r="U50" s="67" t="s">
        <v>267</v>
      </c>
      <c r="V50" s="68" t="s">
        <v>435</v>
      </c>
      <c r="W50" s="66" t="s">
        <v>434</v>
      </c>
      <c r="X50" s="67" t="s">
        <v>267</v>
      </c>
      <c r="Y50" s="68" t="s">
        <v>435</v>
      </c>
      <c r="Z50" s="239" t="s">
        <v>434</v>
      </c>
      <c r="AA50" s="240" t="s">
        <v>267</v>
      </c>
      <c r="AB50" s="241" t="s">
        <v>435</v>
      </c>
      <c r="AC50" s="66" t="s">
        <v>434</v>
      </c>
      <c r="AD50" s="67" t="s">
        <v>267</v>
      </c>
      <c r="AE50" s="68" t="s">
        <v>435</v>
      </c>
      <c r="AF50" s="66" t="s">
        <v>434</v>
      </c>
      <c r="AG50" s="67" t="s">
        <v>267</v>
      </c>
      <c r="AH50" s="68" t="s">
        <v>435</v>
      </c>
      <c r="AI50" s="66" t="s">
        <v>434</v>
      </c>
      <c r="AJ50" s="67" t="s">
        <v>267</v>
      </c>
      <c r="AK50" s="68" t="s">
        <v>435</v>
      </c>
      <c r="AL50" s="239" t="s">
        <v>260</v>
      </c>
      <c r="AM50" s="240" t="s">
        <v>267</v>
      </c>
      <c r="AN50" s="241" t="s">
        <v>261</v>
      </c>
    </row>
    <row r="51" spans="1:46" ht="18" customHeight="1">
      <c r="A51" s="76" t="str">
        <f>IF($C$9="Data Not Entered On Set-Up Worksheet","",IF(OR(VLOOKUP($C$9,County_Lookup,2,FALSE)="",VLOOKUP($C$9,County_Lookup,2,FALSE)=0),"",VLOOKUP($C$9,County_Lookup,2,FALSE)))</f>
        <v/>
      </c>
      <c r="B51" s="69"/>
      <c r="C51" s="62" t="str">
        <f t="shared" ref="C51:C74" si="48">IF(OR($A51="",$A51="Other"),"",IF(OR(AND($C$3=2016,$C$4&lt;&gt;"1st Quarter"),AND($C$3=2017,$C$4="1st Quarter")),VLOOKUP($A51,Uninsured_SFY2016,15,FALSE),IF(OR(AND($C$3=2017,$C$4&lt;&gt;"1st Quarter"),AND($C$3=2018,$C$4="1st Quarter")),VLOOKUP($A51,Uninsured_SFY2017,15,FALSE),"Update Lookup")))</f>
        <v/>
      </c>
      <c r="D51" s="70" t="str">
        <f t="shared" ref="D51:D74" si="49">IF(OR($A51="",$A51="Other"),"",IF(C51=0,0,B51/C51))</f>
        <v/>
      </c>
      <c r="E51" s="69"/>
      <c r="F51" s="62" t="str">
        <f t="shared" ref="F51:F74" si="50">IF(OR($A51="",$A51="Other"),"",IF(OR(AND($C$3=2016,$C$4&lt;&gt;"1st Quarter"),AND($C$3=2017,$C$4="1st Quarter")),VLOOKUP($A51,Uninsured_SFY2016,16,FALSE),IF(OR(AND($C$3=2017,$C$4&lt;&gt;"1st Quarter"),AND($C$3=2018,$C$4="1st Quarter")),VLOOKUP($A51,Uninsured_SFY2017,16,FALSE),"Update Lookup")))</f>
        <v/>
      </c>
      <c r="G51" s="70" t="str">
        <f t="shared" ref="G51:G74" si="51">IF(OR($A51="",$A51="Other"),"",IF(F51=0,0,E51/F51))</f>
        <v/>
      </c>
      <c r="H51" s="69"/>
      <c r="I51" s="62" t="str">
        <f t="shared" ref="I51:I74" si="52">IF(OR($A51="",$A51="Other"),"",IF(OR(AND($C$3=2016,$C$4&lt;&gt;"1st Quarter"),AND($C$3=2017,$C$4="1st Quarter")),VLOOKUP($A51,Uninsured_SFY2016,17,FALSE),IF(OR(AND($C$3=2017,$C$4&lt;&gt;"1st Quarter"),AND($C$3=2018,$C$4="1st Quarter")),VLOOKUP($A51,Uninsured_SFY2017,17,FALSE),"Update Lookup")))</f>
        <v/>
      </c>
      <c r="J51" s="70" t="str">
        <f t="shared" ref="J51:J74" si="53">IF(OR($A51="",$A51="Other"),"",IF(I51=0,0,H51/I51))</f>
        <v/>
      </c>
      <c r="K51" s="74" t="str">
        <f>IF($A51="","",SUM(E51,H51))</f>
        <v/>
      </c>
      <c r="L51" s="62" t="str">
        <f t="shared" ref="L51:L74" si="54">IF(OR($A51="",$A51="Other"),"",SUM(F51,I51))</f>
        <v/>
      </c>
      <c r="M51" s="70" t="str">
        <f t="shared" ref="M51:M74" si="55">IF(OR($A51="",$A51="Other"),"",IF(L51=0,0,K51/L51))</f>
        <v/>
      </c>
      <c r="N51" s="69"/>
      <c r="O51" s="62" t="str">
        <f t="shared" ref="O51:O74" si="56">IF(OR($A51="",$A51="Other"),"",IF(OR(AND($C$3=2016,$C$4&lt;&gt;"1st Quarter"),AND($C$3=2017,$C$4="1st Quarter")),VLOOKUP($A51,Uninsured_SFY2016,15,FALSE),IF(OR(AND($C$3=2017,$C$4&lt;&gt;"1st Quarter"),AND($C$3=2018,$C$4="1st Quarter")),VLOOKUP($A51,Uninsured_SFY2017,15,FALSE),"Update Lookup")))</f>
        <v/>
      </c>
      <c r="P51" s="70" t="str">
        <f t="shared" ref="P51:P74" si="57">IF(OR($A51="",$A51="Other"),"",IF(O51=0,0,N51/O51))</f>
        <v/>
      </c>
      <c r="Q51" s="69"/>
      <c r="R51" s="62" t="str">
        <f t="shared" ref="R51:R74" si="58">IF(OR($A51="",$A51="Other"),"",IF(OR(AND($C$3=2016,$C$4&lt;&gt;"1st Quarter"),AND($C$3=2017,$C$4="1st Quarter")),VLOOKUP($A51,Uninsured_SFY2016,16,FALSE),IF(OR(AND($C$3=2017,$C$4&lt;&gt;"1st Quarter"),AND($C$3=2018,$C$4="1st Quarter")),VLOOKUP($A51,Uninsured_SFY2017,16,FALSE),"Update Lookup")))</f>
        <v/>
      </c>
      <c r="S51" s="70" t="str">
        <f t="shared" ref="S51:S74" si="59">IF(OR($A51="",$A51="Other"),"",IF(R51=0,0,Q51/R51))</f>
        <v/>
      </c>
      <c r="T51" s="69"/>
      <c r="U51" s="62" t="str">
        <f t="shared" ref="U51:U74" si="60">IF(OR($A51="",$A51="Other"),"",IF(OR(AND($C$3=2016,$C$4&lt;&gt;"1st Quarter"),AND($C$3=2017,$C$4="1st Quarter")),VLOOKUP($A51,Uninsured_SFY2016,17,FALSE),IF(OR(AND($C$3=2017,$C$4&lt;&gt;"1st Quarter"),AND($C$3=2018,$C$4="1st Quarter")),VLOOKUP($A51,Uninsured_SFY2017,17,FALSE),"Update Lookup")))</f>
        <v/>
      </c>
      <c r="V51" s="70" t="str">
        <f t="shared" ref="V51:V74" si="61">IF(OR($A51="",$A51="Other"),"",IF(U51=0,0,T51/U51))</f>
        <v/>
      </c>
      <c r="W51" s="74" t="str">
        <f>IF($A51="","",SUM(Q51,T51))</f>
        <v/>
      </c>
      <c r="X51" s="62" t="str">
        <f t="shared" ref="X51:X74" si="62">IF(OR($A51="",$A51="Other"),"",SUM(R51,U51))</f>
        <v/>
      </c>
      <c r="Y51" s="70" t="str">
        <f t="shared" ref="Y51:Y74" si="63">IF(OR($A51="",$A51="Other"),"",IF(X51=0,0,W51/X51))</f>
        <v/>
      </c>
      <c r="Z51" s="69"/>
      <c r="AA51" s="62" t="str">
        <f t="shared" ref="AA51:AA74" si="64">IF(OR($A51="",$A51="Other"),"",IF(OR(AND($C$3=2016,$C$4&lt;&gt;"1st Quarter"),AND($C$3=2017,$C$4="1st Quarter")),VLOOKUP($A51,Uninsured_SFY2016,15,FALSE),IF(OR(AND($C$3=2017,$C$4&lt;&gt;"1st Quarter"),AND($C$3=2018,$C$4="1st Quarter")),VLOOKUP($A51,Uninsured_SFY2017,15,FALSE),"Update Lookup")))</f>
        <v/>
      </c>
      <c r="AB51" s="70" t="str">
        <f t="shared" ref="AB51:AB74" si="65">IF(OR($A51="",$A51="Other"),"",IF(AA51=0,0,Z51/AA51))</f>
        <v/>
      </c>
      <c r="AC51" s="69"/>
      <c r="AD51" s="62" t="str">
        <f t="shared" ref="AD51:AD74" si="66">IF(OR($A51="",$A51="Other"),"",IF(OR(AND($C$3=2016,$C$4&lt;&gt;"1st Quarter"),AND($C$3=2017,$C$4="1st Quarter")),VLOOKUP($A51,Uninsured_SFY2016,16,FALSE),IF(OR(AND($C$3=2017,$C$4&lt;&gt;"1st Quarter"),AND($C$3=2018,$C$4="1st Quarter")),VLOOKUP($A51,Uninsured_SFY2017,16,FALSE),"Update Lookup")))</f>
        <v/>
      </c>
      <c r="AE51" s="70" t="str">
        <f t="shared" ref="AE51:AE74" si="67">IF(OR($A51="",$A51="Other"),"",IF(AD51=0,0,AC51/AD51))</f>
        <v/>
      </c>
      <c r="AF51" s="69"/>
      <c r="AG51" s="62" t="str">
        <f t="shared" ref="AG51:AG74" si="68">IF(OR($A51="",$A51="Other"),"",IF(OR(AND($C$3=2016,$C$4&lt;&gt;"1st Quarter"),AND($C$3=2017,$C$4="1st Quarter")),VLOOKUP($A51,Uninsured_SFY2016,17,FALSE),IF(OR(AND($C$3=2017,$C$4&lt;&gt;"1st Quarter"),AND($C$3=2018,$C$4="1st Quarter")),VLOOKUP($A51,Uninsured_SFY2017,17,FALSE),"Update Lookup")))</f>
        <v/>
      </c>
      <c r="AH51" s="70" t="str">
        <f t="shared" ref="AH51:AH74" si="69">IF(OR($A51="",$A51="Other"),"",IF(AG51=0,0,AF51/AG51))</f>
        <v/>
      </c>
      <c r="AI51" s="74" t="str">
        <f>IF($A51="","",SUM(AC51,AF51))</f>
        <v/>
      </c>
      <c r="AJ51" s="62" t="str">
        <f>IF(OR($A51="",$A51="Other"),"",SUM(AD51,AG51))</f>
        <v/>
      </c>
      <c r="AK51" s="70" t="str">
        <f t="shared" ref="AK51:AK74" si="70">IF(OR($A51="",$A51="Other"),"",IF(AJ51=0,0,AI51/AJ51))</f>
        <v/>
      </c>
      <c r="AL51" s="69"/>
      <c r="AM51" s="62" t="str">
        <f t="shared" ref="AM51:AM74" si="71">IF(OR($A51="",$A51="Other"),"",IF(OR(AND($C$3=2016,$C$4&lt;&gt;"1st Quarter"),AND($C$3=2017,$C$4="1st Quarter")),VLOOKUP($A51,Uninsured_SFY2016,19,FALSE),IF(OR(AND($C$3=2017,$C$4&lt;&gt;"1st Quarter"),AND($C$3=2018,$C$4="1st Quarter")),VLOOKUP($A51,Uninsured_SFY2017,19,FALSE),"Update Lookup")))</f>
        <v/>
      </c>
      <c r="AN51" s="70" t="str">
        <f t="shared" ref="AN51:AN74" si="72">IF(OR($A51="",$A51="Other"),"",IF(AM51=0,0,AL51/AM51))</f>
        <v/>
      </c>
    </row>
    <row r="52" spans="1:46" ht="18" customHeight="1">
      <c r="A52" s="77" t="str">
        <f>IF($C$9="Data Not Entered On Set-Up Worksheet","",IF(OR(VLOOKUP($C$9,County_Lookup,3,FALSE)="",VLOOKUP($C$9,County_Lookup,3,FALSE)=0),"",VLOOKUP($C$9,County_Lookup,3,FALSE)))</f>
        <v/>
      </c>
      <c r="B52" s="69"/>
      <c r="C52" s="62" t="str">
        <f t="shared" si="48"/>
        <v/>
      </c>
      <c r="D52" s="70" t="str">
        <f t="shared" si="49"/>
        <v/>
      </c>
      <c r="E52" s="69"/>
      <c r="F52" s="62" t="str">
        <f t="shared" si="50"/>
        <v/>
      </c>
      <c r="G52" s="70" t="str">
        <f t="shared" si="51"/>
        <v/>
      </c>
      <c r="H52" s="69"/>
      <c r="I52" s="62" t="str">
        <f t="shared" si="52"/>
        <v/>
      </c>
      <c r="J52" s="70" t="str">
        <f t="shared" si="53"/>
        <v/>
      </c>
      <c r="K52" s="74" t="str">
        <f t="shared" ref="K52:K74" si="73">IF($A52="","",SUM(E52,H52))</f>
        <v/>
      </c>
      <c r="L52" s="62" t="str">
        <f t="shared" si="54"/>
        <v/>
      </c>
      <c r="M52" s="70" t="str">
        <f t="shared" si="55"/>
        <v/>
      </c>
      <c r="N52" s="69"/>
      <c r="O52" s="62" t="str">
        <f t="shared" si="56"/>
        <v/>
      </c>
      <c r="P52" s="70" t="str">
        <f t="shared" si="57"/>
        <v/>
      </c>
      <c r="Q52" s="69"/>
      <c r="R52" s="62" t="str">
        <f t="shared" si="58"/>
        <v/>
      </c>
      <c r="S52" s="70" t="str">
        <f t="shared" si="59"/>
        <v/>
      </c>
      <c r="T52" s="69"/>
      <c r="U52" s="62" t="str">
        <f t="shared" si="60"/>
        <v/>
      </c>
      <c r="V52" s="70" t="str">
        <f t="shared" si="61"/>
        <v/>
      </c>
      <c r="W52" s="74" t="str">
        <f t="shared" ref="W52:W74" si="74">IF($A52="","",SUM(Q52,T52))</f>
        <v/>
      </c>
      <c r="X52" s="62" t="str">
        <f t="shared" si="62"/>
        <v/>
      </c>
      <c r="Y52" s="70" t="str">
        <f t="shared" si="63"/>
        <v/>
      </c>
      <c r="Z52" s="69"/>
      <c r="AA52" s="62" t="str">
        <f t="shared" si="64"/>
        <v/>
      </c>
      <c r="AB52" s="70" t="str">
        <f t="shared" si="65"/>
        <v/>
      </c>
      <c r="AC52" s="69"/>
      <c r="AD52" s="62" t="str">
        <f t="shared" si="66"/>
        <v/>
      </c>
      <c r="AE52" s="70" t="str">
        <f t="shared" si="67"/>
        <v/>
      </c>
      <c r="AF52" s="69"/>
      <c r="AG52" s="62" t="str">
        <f t="shared" si="68"/>
        <v/>
      </c>
      <c r="AH52" s="70" t="str">
        <f t="shared" si="69"/>
        <v/>
      </c>
      <c r="AI52" s="74" t="str">
        <f t="shared" ref="AI52:AI74" si="75">IF($A52="","",SUM(AC52,AF52))</f>
        <v/>
      </c>
      <c r="AJ52" s="62" t="str">
        <f t="shared" ref="AJ52:AJ74" si="76">IF(OR($A52="",$A52="Other"),"",SUM(AD52,AG52))</f>
        <v/>
      </c>
      <c r="AK52" s="70" t="str">
        <f t="shared" si="70"/>
        <v/>
      </c>
      <c r="AL52" s="69"/>
      <c r="AM52" s="62" t="str">
        <f t="shared" si="71"/>
        <v/>
      </c>
      <c r="AN52" s="70" t="str">
        <f t="shared" si="72"/>
        <v/>
      </c>
    </row>
    <row r="53" spans="1:46" ht="18" customHeight="1">
      <c r="A53" s="77" t="str">
        <f>IF($C$9="Data Not Entered On Set-Up Worksheet","",IF(OR(VLOOKUP($C$9,County_Lookup,4,FALSE)="",VLOOKUP($C$9,County_Lookup,4,FALSE)=0),"",VLOOKUP($C$9,County_Lookup,4,FALSE)))</f>
        <v/>
      </c>
      <c r="B53" s="69"/>
      <c r="C53" s="62" t="str">
        <f t="shared" si="48"/>
        <v/>
      </c>
      <c r="D53" s="70" t="str">
        <f t="shared" si="49"/>
        <v/>
      </c>
      <c r="E53" s="69"/>
      <c r="F53" s="62" t="str">
        <f t="shared" si="50"/>
        <v/>
      </c>
      <c r="G53" s="70" t="str">
        <f t="shared" si="51"/>
        <v/>
      </c>
      <c r="H53" s="69"/>
      <c r="I53" s="62" t="str">
        <f t="shared" si="52"/>
        <v/>
      </c>
      <c r="J53" s="70" t="str">
        <f t="shared" si="53"/>
        <v/>
      </c>
      <c r="K53" s="74" t="str">
        <f t="shared" si="73"/>
        <v/>
      </c>
      <c r="L53" s="62" t="str">
        <f t="shared" si="54"/>
        <v/>
      </c>
      <c r="M53" s="70" t="str">
        <f t="shared" si="55"/>
        <v/>
      </c>
      <c r="N53" s="69"/>
      <c r="O53" s="62" t="str">
        <f t="shared" si="56"/>
        <v/>
      </c>
      <c r="P53" s="70" t="str">
        <f t="shared" si="57"/>
        <v/>
      </c>
      <c r="Q53" s="69"/>
      <c r="R53" s="62" t="str">
        <f t="shared" si="58"/>
        <v/>
      </c>
      <c r="S53" s="70" t="str">
        <f t="shared" si="59"/>
        <v/>
      </c>
      <c r="T53" s="69"/>
      <c r="U53" s="62" t="str">
        <f t="shared" si="60"/>
        <v/>
      </c>
      <c r="V53" s="70" t="str">
        <f t="shared" si="61"/>
        <v/>
      </c>
      <c r="W53" s="74" t="str">
        <f t="shared" si="74"/>
        <v/>
      </c>
      <c r="X53" s="62" t="str">
        <f t="shared" si="62"/>
        <v/>
      </c>
      <c r="Y53" s="70" t="str">
        <f t="shared" si="63"/>
        <v/>
      </c>
      <c r="Z53" s="69"/>
      <c r="AA53" s="62" t="str">
        <f t="shared" si="64"/>
        <v/>
      </c>
      <c r="AB53" s="70" t="str">
        <f t="shared" si="65"/>
        <v/>
      </c>
      <c r="AC53" s="69"/>
      <c r="AD53" s="62" t="str">
        <f t="shared" si="66"/>
        <v/>
      </c>
      <c r="AE53" s="70" t="str">
        <f t="shared" si="67"/>
        <v/>
      </c>
      <c r="AF53" s="69"/>
      <c r="AG53" s="62" t="str">
        <f t="shared" si="68"/>
        <v/>
      </c>
      <c r="AH53" s="70" t="str">
        <f t="shared" si="69"/>
        <v/>
      </c>
      <c r="AI53" s="74" t="str">
        <f t="shared" si="75"/>
        <v/>
      </c>
      <c r="AJ53" s="62" t="str">
        <f t="shared" si="76"/>
        <v/>
      </c>
      <c r="AK53" s="70" t="str">
        <f t="shared" si="70"/>
        <v/>
      </c>
      <c r="AL53" s="69"/>
      <c r="AM53" s="62" t="str">
        <f t="shared" si="71"/>
        <v/>
      </c>
      <c r="AN53" s="70" t="str">
        <f t="shared" si="72"/>
        <v/>
      </c>
    </row>
    <row r="54" spans="1:46" ht="18" customHeight="1">
      <c r="A54" s="77" t="str">
        <f>IF($C$9="Data Not Entered On Set-Up Worksheet","",IF(OR(VLOOKUP($C$9,County_Lookup,5,FALSE)="",VLOOKUP($C$9,County_Lookup,5,FALSE)=0),"",VLOOKUP($C$9,County_Lookup,5,FALSE)))</f>
        <v/>
      </c>
      <c r="B54" s="69"/>
      <c r="C54" s="62" t="str">
        <f t="shared" si="48"/>
        <v/>
      </c>
      <c r="D54" s="70" t="str">
        <f t="shared" si="49"/>
        <v/>
      </c>
      <c r="E54" s="69"/>
      <c r="F54" s="62" t="str">
        <f t="shared" si="50"/>
        <v/>
      </c>
      <c r="G54" s="70" t="str">
        <f t="shared" si="51"/>
        <v/>
      </c>
      <c r="H54" s="69"/>
      <c r="I54" s="62" t="str">
        <f t="shared" si="52"/>
        <v/>
      </c>
      <c r="J54" s="70" t="str">
        <f t="shared" si="53"/>
        <v/>
      </c>
      <c r="K54" s="74" t="str">
        <f t="shared" si="73"/>
        <v/>
      </c>
      <c r="L54" s="62" t="str">
        <f t="shared" si="54"/>
        <v/>
      </c>
      <c r="M54" s="70" t="str">
        <f t="shared" si="55"/>
        <v/>
      </c>
      <c r="N54" s="69"/>
      <c r="O54" s="62" t="str">
        <f t="shared" si="56"/>
        <v/>
      </c>
      <c r="P54" s="70" t="str">
        <f t="shared" si="57"/>
        <v/>
      </c>
      <c r="Q54" s="69"/>
      <c r="R54" s="62" t="str">
        <f t="shared" si="58"/>
        <v/>
      </c>
      <c r="S54" s="70" t="str">
        <f t="shared" si="59"/>
        <v/>
      </c>
      <c r="T54" s="69"/>
      <c r="U54" s="62" t="str">
        <f t="shared" si="60"/>
        <v/>
      </c>
      <c r="V54" s="70" t="str">
        <f t="shared" si="61"/>
        <v/>
      </c>
      <c r="W54" s="74" t="str">
        <f t="shared" si="74"/>
        <v/>
      </c>
      <c r="X54" s="62" t="str">
        <f t="shared" si="62"/>
        <v/>
      </c>
      <c r="Y54" s="70" t="str">
        <f t="shared" si="63"/>
        <v/>
      </c>
      <c r="Z54" s="69"/>
      <c r="AA54" s="62" t="str">
        <f t="shared" si="64"/>
        <v/>
      </c>
      <c r="AB54" s="70" t="str">
        <f t="shared" si="65"/>
        <v/>
      </c>
      <c r="AC54" s="69"/>
      <c r="AD54" s="62" t="str">
        <f t="shared" si="66"/>
        <v/>
      </c>
      <c r="AE54" s="70" t="str">
        <f t="shared" si="67"/>
        <v/>
      </c>
      <c r="AF54" s="69"/>
      <c r="AG54" s="62" t="str">
        <f t="shared" si="68"/>
        <v/>
      </c>
      <c r="AH54" s="70" t="str">
        <f t="shared" si="69"/>
        <v/>
      </c>
      <c r="AI54" s="74" t="str">
        <f t="shared" si="75"/>
        <v/>
      </c>
      <c r="AJ54" s="62" t="str">
        <f t="shared" si="76"/>
        <v/>
      </c>
      <c r="AK54" s="70" t="str">
        <f t="shared" si="70"/>
        <v/>
      </c>
      <c r="AL54" s="69"/>
      <c r="AM54" s="62" t="str">
        <f t="shared" si="71"/>
        <v/>
      </c>
      <c r="AN54" s="70" t="str">
        <f t="shared" si="72"/>
        <v/>
      </c>
    </row>
    <row r="55" spans="1:46" ht="18" customHeight="1">
      <c r="A55" s="77" t="str">
        <f>IF($C$9="Data Not Entered On Set-Up Worksheet","",IF(OR(VLOOKUP($C$9,County_Lookup,6,FALSE)="",VLOOKUP($C$9,County_Lookup,6,FALSE)=0),"",VLOOKUP($C$9,County_Lookup,6,FALSE)))</f>
        <v/>
      </c>
      <c r="B55" s="69"/>
      <c r="C55" s="62" t="str">
        <f t="shared" si="48"/>
        <v/>
      </c>
      <c r="D55" s="70" t="str">
        <f t="shared" si="49"/>
        <v/>
      </c>
      <c r="E55" s="69"/>
      <c r="F55" s="62" t="str">
        <f t="shared" si="50"/>
        <v/>
      </c>
      <c r="G55" s="70" t="str">
        <f t="shared" si="51"/>
        <v/>
      </c>
      <c r="H55" s="69"/>
      <c r="I55" s="62" t="str">
        <f t="shared" si="52"/>
        <v/>
      </c>
      <c r="J55" s="70" t="str">
        <f t="shared" si="53"/>
        <v/>
      </c>
      <c r="K55" s="74" t="str">
        <f t="shared" si="73"/>
        <v/>
      </c>
      <c r="L55" s="62" t="str">
        <f t="shared" si="54"/>
        <v/>
      </c>
      <c r="M55" s="70" t="str">
        <f t="shared" si="55"/>
        <v/>
      </c>
      <c r="N55" s="69"/>
      <c r="O55" s="62" t="str">
        <f t="shared" si="56"/>
        <v/>
      </c>
      <c r="P55" s="70" t="str">
        <f t="shared" si="57"/>
        <v/>
      </c>
      <c r="Q55" s="69"/>
      <c r="R55" s="62" t="str">
        <f t="shared" si="58"/>
        <v/>
      </c>
      <c r="S55" s="70" t="str">
        <f t="shared" si="59"/>
        <v/>
      </c>
      <c r="T55" s="69"/>
      <c r="U55" s="62" t="str">
        <f t="shared" si="60"/>
        <v/>
      </c>
      <c r="V55" s="70" t="str">
        <f t="shared" si="61"/>
        <v/>
      </c>
      <c r="W55" s="74" t="str">
        <f t="shared" si="74"/>
        <v/>
      </c>
      <c r="X55" s="62" t="str">
        <f t="shared" si="62"/>
        <v/>
      </c>
      <c r="Y55" s="70" t="str">
        <f t="shared" si="63"/>
        <v/>
      </c>
      <c r="Z55" s="69"/>
      <c r="AA55" s="62" t="str">
        <f t="shared" si="64"/>
        <v/>
      </c>
      <c r="AB55" s="70" t="str">
        <f t="shared" si="65"/>
        <v/>
      </c>
      <c r="AC55" s="69"/>
      <c r="AD55" s="62" t="str">
        <f t="shared" si="66"/>
        <v/>
      </c>
      <c r="AE55" s="70" t="str">
        <f t="shared" si="67"/>
        <v/>
      </c>
      <c r="AF55" s="69"/>
      <c r="AG55" s="62" t="str">
        <f t="shared" si="68"/>
        <v/>
      </c>
      <c r="AH55" s="70" t="str">
        <f t="shared" si="69"/>
        <v/>
      </c>
      <c r="AI55" s="74" t="str">
        <f t="shared" si="75"/>
        <v/>
      </c>
      <c r="AJ55" s="62" t="str">
        <f t="shared" si="76"/>
        <v/>
      </c>
      <c r="AK55" s="70" t="str">
        <f t="shared" si="70"/>
        <v/>
      </c>
      <c r="AL55" s="69"/>
      <c r="AM55" s="62" t="str">
        <f t="shared" si="71"/>
        <v/>
      </c>
      <c r="AN55" s="70" t="str">
        <f t="shared" si="72"/>
        <v/>
      </c>
    </row>
    <row r="56" spans="1:46" ht="18" customHeight="1">
      <c r="A56" s="77" t="str">
        <f>IF($C$9="Data Not Entered On Set-Up Worksheet","",IF(OR(VLOOKUP($C$9,County_Lookup,7,FALSE)="",VLOOKUP($C$9,County_Lookup,7,FALSE)=0),"",VLOOKUP($C$9,County_Lookup,7,FALSE)))</f>
        <v/>
      </c>
      <c r="B56" s="69"/>
      <c r="C56" s="62" t="str">
        <f t="shared" si="48"/>
        <v/>
      </c>
      <c r="D56" s="70" t="str">
        <f t="shared" si="49"/>
        <v/>
      </c>
      <c r="E56" s="69"/>
      <c r="F56" s="62" t="str">
        <f t="shared" si="50"/>
        <v/>
      </c>
      <c r="G56" s="70" t="str">
        <f t="shared" si="51"/>
        <v/>
      </c>
      <c r="H56" s="69"/>
      <c r="I56" s="62" t="str">
        <f t="shared" si="52"/>
        <v/>
      </c>
      <c r="J56" s="70" t="str">
        <f t="shared" si="53"/>
        <v/>
      </c>
      <c r="K56" s="74" t="str">
        <f t="shared" si="73"/>
        <v/>
      </c>
      <c r="L56" s="62" t="str">
        <f t="shared" si="54"/>
        <v/>
      </c>
      <c r="M56" s="70" t="str">
        <f t="shared" si="55"/>
        <v/>
      </c>
      <c r="N56" s="69"/>
      <c r="O56" s="62" t="str">
        <f t="shared" si="56"/>
        <v/>
      </c>
      <c r="P56" s="70" t="str">
        <f t="shared" si="57"/>
        <v/>
      </c>
      <c r="Q56" s="69"/>
      <c r="R56" s="62" t="str">
        <f t="shared" si="58"/>
        <v/>
      </c>
      <c r="S56" s="70" t="str">
        <f t="shared" si="59"/>
        <v/>
      </c>
      <c r="T56" s="69"/>
      <c r="U56" s="62" t="str">
        <f t="shared" si="60"/>
        <v/>
      </c>
      <c r="V56" s="70" t="str">
        <f t="shared" si="61"/>
        <v/>
      </c>
      <c r="W56" s="74" t="str">
        <f t="shared" si="74"/>
        <v/>
      </c>
      <c r="X56" s="62" t="str">
        <f t="shared" si="62"/>
        <v/>
      </c>
      <c r="Y56" s="70" t="str">
        <f t="shared" si="63"/>
        <v/>
      </c>
      <c r="Z56" s="69"/>
      <c r="AA56" s="62" t="str">
        <f t="shared" si="64"/>
        <v/>
      </c>
      <c r="AB56" s="70" t="str">
        <f t="shared" si="65"/>
        <v/>
      </c>
      <c r="AC56" s="69"/>
      <c r="AD56" s="62" t="str">
        <f t="shared" si="66"/>
        <v/>
      </c>
      <c r="AE56" s="70" t="str">
        <f t="shared" si="67"/>
        <v/>
      </c>
      <c r="AF56" s="69"/>
      <c r="AG56" s="62" t="str">
        <f t="shared" si="68"/>
        <v/>
      </c>
      <c r="AH56" s="70" t="str">
        <f t="shared" si="69"/>
        <v/>
      </c>
      <c r="AI56" s="74" t="str">
        <f t="shared" si="75"/>
        <v/>
      </c>
      <c r="AJ56" s="62" t="str">
        <f t="shared" si="76"/>
        <v/>
      </c>
      <c r="AK56" s="70" t="str">
        <f t="shared" si="70"/>
        <v/>
      </c>
      <c r="AL56" s="69"/>
      <c r="AM56" s="62" t="str">
        <f t="shared" si="71"/>
        <v/>
      </c>
      <c r="AN56" s="70" t="str">
        <f t="shared" si="72"/>
        <v/>
      </c>
    </row>
    <row r="57" spans="1:46" ht="18" customHeight="1">
      <c r="A57" s="76" t="str">
        <f>IF($C$9="Data Not Entered On Set-Up Worksheet","",IF(OR(VLOOKUP($C$9,County_Lookup,8,FALSE)="",VLOOKUP($C$9,County_Lookup,8,FALSE)=0),"",VLOOKUP($C$9,County_Lookup,8,FALSE)))</f>
        <v/>
      </c>
      <c r="B57" s="69"/>
      <c r="C57" s="62" t="str">
        <f t="shared" si="48"/>
        <v/>
      </c>
      <c r="D57" s="70" t="str">
        <f t="shared" si="49"/>
        <v/>
      </c>
      <c r="E57" s="69"/>
      <c r="F57" s="62" t="str">
        <f t="shared" si="50"/>
        <v/>
      </c>
      <c r="G57" s="70" t="str">
        <f t="shared" si="51"/>
        <v/>
      </c>
      <c r="H57" s="69"/>
      <c r="I57" s="62" t="str">
        <f t="shared" si="52"/>
        <v/>
      </c>
      <c r="J57" s="70" t="str">
        <f t="shared" si="53"/>
        <v/>
      </c>
      <c r="K57" s="74" t="str">
        <f t="shared" si="73"/>
        <v/>
      </c>
      <c r="L57" s="62" t="str">
        <f t="shared" si="54"/>
        <v/>
      </c>
      <c r="M57" s="70" t="str">
        <f t="shared" si="55"/>
        <v/>
      </c>
      <c r="N57" s="69"/>
      <c r="O57" s="62" t="str">
        <f t="shared" si="56"/>
        <v/>
      </c>
      <c r="P57" s="70" t="str">
        <f t="shared" si="57"/>
        <v/>
      </c>
      <c r="Q57" s="69"/>
      <c r="R57" s="62" t="str">
        <f t="shared" si="58"/>
        <v/>
      </c>
      <c r="S57" s="70" t="str">
        <f t="shared" si="59"/>
        <v/>
      </c>
      <c r="T57" s="69"/>
      <c r="U57" s="62" t="str">
        <f t="shared" si="60"/>
        <v/>
      </c>
      <c r="V57" s="70" t="str">
        <f t="shared" si="61"/>
        <v/>
      </c>
      <c r="W57" s="74" t="str">
        <f t="shared" si="74"/>
        <v/>
      </c>
      <c r="X57" s="62" t="str">
        <f t="shared" si="62"/>
        <v/>
      </c>
      <c r="Y57" s="70" t="str">
        <f t="shared" si="63"/>
        <v/>
      </c>
      <c r="Z57" s="69"/>
      <c r="AA57" s="62" t="str">
        <f t="shared" si="64"/>
        <v/>
      </c>
      <c r="AB57" s="70" t="str">
        <f t="shared" si="65"/>
        <v/>
      </c>
      <c r="AC57" s="69"/>
      <c r="AD57" s="62" t="str">
        <f t="shared" si="66"/>
        <v/>
      </c>
      <c r="AE57" s="70" t="str">
        <f t="shared" si="67"/>
        <v/>
      </c>
      <c r="AF57" s="69"/>
      <c r="AG57" s="62" t="str">
        <f t="shared" si="68"/>
        <v/>
      </c>
      <c r="AH57" s="70" t="str">
        <f t="shared" si="69"/>
        <v/>
      </c>
      <c r="AI57" s="74" t="str">
        <f t="shared" si="75"/>
        <v/>
      </c>
      <c r="AJ57" s="62" t="str">
        <f t="shared" si="76"/>
        <v/>
      </c>
      <c r="AK57" s="70" t="str">
        <f t="shared" si="70"/>
        <v/>
      </c>
      <c r="AL57" s="69"/>
      <c r="AM57" s="62" t="str">
        <f t="shared" si="71"/>
        <v/>
      </c>
      <c r="AN57" s="70" t="str">
        <f t="shared" si="72"/>
        <v/>
      </c>
    </row>
    <row r="58" spans="1:46" ht="18" customHeight="1">
      <c r="A58" s="77" t="str">
        <f>IF($C$9="Data Not Entered On Set-Up Worksheet","",IF(OR(VLOOKUP($C$9,County_Lookup,9,FALSE)="",VLOOKUP($C$9,County_Lookup,9,FALSE)=0),"",VLOOKUP($C$9,County_Lookup,9,FALSE)))</f>
        <v/>
      </c>
      <c r="B58" s="69"/>
      <c r="C58" s="62" t="str">
        <f t="shared" si="48"/>
        <v/>
      </c>
      <c r="D58" s="70" t="str">
        <f t="shared" si="49"/>
        <v/>
      </c>
      <c r="E58" s="69"/>
      <c r="F58" s="62" t="str">
        <f t="shared" si="50"/>
        <v/>
      </c>
      <c r="G58" s="70" t="str">
        <f t="shared" si="51"/>
        <v/>
      </c>
      <c r="H58" s="69"/>
      <c r="I58" s="62" t="str">
        <f t="shared" si="52"/>
        <v/>
      </c>
      <c r="J58" s="70" t="str">
        <f t="shared" si="53"/>
        <v/>
      </c>
      <c r="K58" s="74" t="str">
        <f t="shared" si="73"/>
        <v/>
      </c>
      <c r="L58" s="62" t="str">
        <f t="shared" si="54"/>
        <v/>
      </c>
      <c r="M58" s="70" t="str">
        <f t="shared" si="55"/>
        <v/>
      </c>
      <c r="N58" s="69"/>
      <c r="O58" s="62" t="str">
        <f t="shared" si="56"/>
        <v/>
      </c>
      <c r="P58" s="70" t="str">
        <f t="shared" si="57"/>
        <v/>
      </c>
      <c r="Q58" s="69"/>
      <c r="R58" s="62" t="str">
        <f t="shared" si="58"/>
        <v/>
      </c>
      <c r="S58" s="70" t="str">
        <f t="shared" si="59"/>
        <v/>
      </c>
      <c r="T58" s="69"/>
      <c r="U58" s="62" t="str">
        <f t="shared" si="60"/>
        <v/>
      </c>
      <c r="V58" s="70" t="str">
        <f t="shared" si="61"/>
        <v/>
      </c>
      <c r="W58" s="74" t="str">
        <f t="shared" si="74"/>
        <v/>
      </c>
      <c r="X58" s="62" t="str">
        <f t="shared" si="62"/>
        <v/>
      </c>
      <c r="Y58" s="70" t="str">
        <f t="shared" si="63"/>
        <v/>
      </c>
      <c r="Z58" s="69"/>
      <c r="AA58" s="62" t="str">
        <f t="shared" si="64"/>
        <v/>
      </c>
      <c r="AB58" s="70" t="str">
        <f t="shared" si="65"/>
        <v/>
      </c>
      <c r="AC58" s="69"/>
      <c r="AD58" s="62" t="str">
        <f t="shared" si="66"/>
        <v/>
      </c>
      <c r="AE58" s="70" t="str">
        <f t="shared" si="67"/>
        <v/>
      </c>
      <c r="AF58" s="69"/>
      <c r="AG58" s="62" t="str">
        <f t="shared" si="68"/>
        <v/>
      </c>
      <c r="AH58" s="70" t="str">
        <f t="shared" si="69"/>
        <v/>
      </c>
      <c r="AI58" s="74" t="str">
        <f t="shared" si="75"/>
        <v/>
      </c>
      <c r="AJ58" s="62" t="str">
        <f t="shared" si="76"/>
        <v/>
      </c>
      <c r="AK58" s="70" t="str">
        <f t="shared" si="70"/>
        <v/>
      </c>
      <c r="AL58" s="69"/>
      <c r="AM58" s="62" t="str">
        <f t="shared" si="71"/>
        <v/>
      </c>
      <c r="AN58" s="70" t="str">
        <f t="shared" si="72"/>
        <v/>
      </c>
    </row>
    <row r="59" spans="1:46" ht="18" customHeight="1">
      <c r="A59" s="77" t="str">
        <f>IF($C$9="Data Not Entered On Set-Up Worksheet","",IF(OR(VLOOKUP($C$9,County_Lookup,10,FALSE)="",VLOOKUP($C$9,County_Lookup,10,FALSE)=0),"",VLOOKUP($C$9,County_Lookup,10,FALSE)))</f>
        <v/>
      </c>
      <c r="B59" s="69"/>
      <c r="C59" s="62" t="str">
        <f t="shared" si="48"/>
        <v/>
      </c>
      <c r="D59" s="70" t="str">
        <f t="shared" si="49"/>
        <v/>
      </c>
      <c r="E59" s="69"/>
      <c r="F59" s="62" t="str">
        <f t="shared" si="50"/>
        <v/>
      </c>
      <c r="G59" s="70" t="str">
        <f t="shared" si="51"/>
        <v/>
      </c>
      <c r="H59" s="69"/>
      <c r="I59" s="62" t="str">
        <f t="shared" si="52"/>
        <v/>
      </c>
      <c r="J59" s="70" t="str">
        <f t="shared" si="53"/>
        <v/>
      </c>
      <c r="K59" s="74" t="str">
        <f t="shared" si="73"/>
        <v/>
      </c>
      <c r="L59" s="62" t="str">
        <f t="shared" si="54"/>
        <v/>
      </c>
      <c r="M59" s="70" t="str">
        <f t="shared" si="55"/>
        <v/>
      </c>
      <c r="N59" s="69"/>
      <c r="O59" s="62" t="str">
        <f t="shared" si="56"/>
        <v/>
      </c>
      <c r="P59" s="70" t="str">
        <f t="shared" si="57"/>
        <v/>
      </c>
      <c r="Q59" s="69"/>
      <c r="R59" s="62" t="str">
        <f t="shared" si="58"/>
        <v/>
      </c>
      <c r="S59" s="70" t="str">
        <f t="shared" si="59"/>
        <v/>
      </c>
      <c r="T59" s="69"/>
      <c r="U59" s="62" t="str">
        <f t="shared" si="60"/>
        <v/>
      </c>
      <c r="V59" s="70" t="str">
        <f t="shared" si="61"/>
        <v/>
      </c>
      <c r="W59" s="74" t="str">
        <f t="shared" si="74"/>
        <v/>
      </c>
      <c r="X59" s="62" t="str">
        <f t="shared" si="62"/>
        <v/>
      </c>
      <c r="Y59" s="70" t="str">
        <f t="shared" si="63"/>
        <v/>
      </c>
      <c r="Z59" s="69"/>
      <c r="AA59" s="62" t="str">
        <f t="shared" si="64"/>
        <v/>
      </c>
      <c r="AB59" s="70" t="str">
        <f t="shared" si="65"/>
        <v/>
      </c>
      <c r="AC59" s="69"/>
      <c r="AD59" s="62" t="str">
        <f t="shared" si="66"/>
        <v/>
      </c>
      <c r="AE59" s="70" t="str">
        <f t="shared" si="67"/>
        <v/>
      </c>
      <c r="AF59" s="69"/>
      <c r="AG59" s="62" t="str">
        <f t="shared" si="68"/>
        <v/>
      </c>
      <c r="AH59" s="70" t="str">
        <f t="shared" si="69"/>
        <v/>
      </c>
      <c r="AI59" s="74" t="str">
        <f t="shared" si="75"/>
        <v/>
      </c>
      <c r="AJ59" s="62" t="str">
        <f t="shared" si="76"/>
        <v/>
      </c>
      <c r="AK59" s="70" t="str">
        <f t="shared" si="70"/>
        <v/>
      </c>
      <c r="AL59" s="69"/>
      <c r="AM59" s="62" t="str">
        <f t="shared" si="71"/>
        <v/>
      </c>
      <c r="AN59" s="70" t="str">
        <f t="shared" si="72"/>
        <v/>
      </c>
    </row>
    <row r="60" spans="1:46" ht="18" customHeight="1">
      <c r="A60" s="77" t="str">
        <f>IF($C$9="Data Not Entered On Set-Up Worksheet","",IF(OR(VLOOKUP($C$9,County_Lookup,11,FALSE)="",VLOOKUP($C$9,County_Lookup,11,FALSE)=0),"",VLOOKUP($C$9,County_Lookup,11,FALSE)))</f>
        <v/>
      </c>
      <c r="B60" s="69"/>
      <c r="C60" s="62" t="str">
        <f t="shared" si="48"/>
        <v/>
      </c>
      <c r="D60" s="70" t="str">
        <f t="shared" si="49"/>
        <v/>
      </c>
      <c r="E60" s="69"/>
      <c r="F60" s="62" t="str">
        <f t="shared" si="50"/>
        <v/>
      </c>
      <c r="G60" s="70" t="str">
        <f t="shared" si="51"/>
        <v/>
      </c>
      <c r="H60" s="69"/>
      <c r="I60" s="62" t="str">
        <f t="shared" si="52"/>
        <v/>
      </c>
      <c r="J60" s="70" t="str">
        <f t="shared" si="53"/>
        <v/>
      </c>
      <c r="K60" s="74" t="str">
        <f t="shared" si="73"/>
        <v/>
      </c>
      <c r="L60" s="62" t="str">
        <f t="shared" si="54"/>
        <v/>
      </c>
      <c r="M60" s="70" t="str">
        <f t="shared" si="55"/>
        <v/>
      </c>
      <c r="N60" s="69"/>
      <c r="O60" s="62" t="str">
        <f t="shared" si="56"/>
        <v/>
      </c>
      <c r="P60" s="70" t="str">
        <f t="shared" si="57"/>
        <v/>
      </c>
      <c r="Q60" s="69"/>
      <c r="R60" s="62" t="str">
        <f t="shared" si="58"/>
        <v/>
      </c>
      <c r="S60" s="70" t="str">
        <f t="shared" si="59"/>
        <v/>
      </c>
      <c r="T60" s="69"/>
      <c r="U60" s="62" t="str">
        <f t="shared" si="60"/>
        <v/>
      </c>
      <c r="V60" s="70" t="str">
        <f t="shared" si="61"/>
        <v/>
      </c>
      <c r="W60" s="74" t="str">
        <f t="shared" si="74"/>
        <v/>
      </c>
      <c r="X60" s="62" t="str">
        <f t="shared" si="62"/>
        <v/>
      </c>
      <c r="Y60" s="70" t="str">
        <f t="shared" si="63"/>
        <v/>
      </c>
      <c r="Z60" s="69"/>
      <c r="AA60" s="62" t="str">
        <f t="shared" si="64"/>
        <v/>
      </c>
      <c r="AB60" s="70" t="str">
        <f t="shared" si="65"/>
        <v/>
      </c>
      <c r="AC60" s="69"/>
      <c r="AD60" s="62" t="str">
        <f t="shared" si="66"/>
        <v/>
      </c>
      <c r="AE60" s="70" t="str">
        <f t="shared" si="67"/>
        <v/>
      </c>
      <c r="AF60" s="69"/>
      <c r="AG60" s="62" t="str">
        <f t="shared" si="68"/>
        <v/>
      </c>
      <c r="AH60" s="70" t="str">
        <f t="shared" si="69"/>
        <v/>
      </c>
      <c r="AI60" s="74" t="str">
        <f t="shared" si="75"/>
        <v/>
      </c>
      <c r="AJ60" s="62" t="str">
        <f t="shared" si="76"/>
        <v/>
      </c>
      <c r="AK60" s="70" t="str">
        <f t="shared" si="70"/>
        <v/>
      </c>
      <c r="AL60" s="69"/>
      <c r="AM60" s="62" t="str">
        <f t="shared" si="71"/>
        <v/>
      </c>
      <c r="AN60" s="70" t="str">
        <f t="shared" si="72"/>
        <v/>
      </c>
    </row>
    <row r="61" spans="1:46" ht="18" customHeight="1">
      <c r="A61" s="77" t="str">
        <f>IF($C$9="Data Not Entered On Set-Up Worksheet","",IF(OR(VLOOKUP($C$9,County_Lookup,12,FALSE)="",VLOOKUP($C$9,County_Lookup,12,FALSE)=0),"",VLOOKUP($C$9,County_Lookup,12,FALSE)))</f>
        <v/>
      </c>
      <c r="B61" s="69"/>
      <c r="C61" s="62" t="str">
        <f t="shared" si="48"/>
        <v/>
      </c>
      <c r="D61" s="70" t="str">
        <f t="shared" si="49"/>
        <v/>
      </c>
      <c r="E61" s="69"/>
      <c r="F61" s="62" t="str">
        <f t="shared" si="50"/>
        <v/>
      </c>
      <c r="G61" s="70" t="str">
        <f t="shared" si="51"/>
        <v/>
      </c>
      <c r="H61" s="69"/>
      <c r="I61" s="62" t="str">
        <f t="shared" si="52"/>
        <v/>
      </c>
      <c r="J61" s="70" t="str">
        <f t="shared" si="53"/>
        <v/>
      </c>
      <c r="K61" s="74" t="str">
        <f t="shared" si="73"/>
        <v/>
      </c>
      <c r="L61" s="62" t="str">
        <f t="shared" si="54"/>
        <v/>
      </c>
      <c r="M61" s="70" t="str">
        <f t="shared" si="55"/>
        <v/>
      </c>
      <c r="N61" s="69"/>
      <c r="O61" s="62" t="str">
        <f t="shared" si="56"/>
        <v/>
      </c>
      <c r="P61" s="70" t="str">
        <f t="shared" si="57"/>
        <v/>
      </c>
      <c r="Q61" s="69"/>
      <c r="R61" s="62" t="str">
        <f t="shared" si="58"/>
        <v/>
      </c>
      <c r="S61" s="70" t="str">
        <f t="shared" si="59"/>
        <v/>
      </c>
      <c r="T61" s="69"/>
      <c r="U61" s="62" t="str">
        <f t="shared" si="60"/>
        <v/>
      </c>
      <c r="V61" s="70" t="str">
        <f t="shared" si="61"/>
        <v/>
      </c>
      <c r="W61" s="74" t="str">
        <f t="shared" si="74"/>
        <v/>
      </c>
      <c r="X61" s="62" t="str">
        <f t="shared" si="62"/>
        <v/>
      </c>
      <c r="Y61" s="70" t="str">
        <f t="shared" si="63"/>
        <v/>
      </c>
      <c r="Z61" s="69"/>
      <c r="AA61" s="62" t="str">
        <f t="shared" si="64"/>
        <v/>
      </c>
      <c r="AB61" s="70" t="str">
        <f t="shared" si="65"/>
        <v/>
      </c>
      <c r="AC61" s="69"/>
      <c r="AD61" s="62" t="str">
        <f t="shared" si="66"/>
        <v/>
      </c>
      <c r="AE61" s="70" t="str">
        <f t="shared" si="67"/>
        <v/>
      </c>
      <c r="AF61" s="69"/>
      <c r="AG61" s="62" t="str">
        <f t="shared" si="68"/>
        <v/>
      </c>
      <c r="AH61" s="70" t="str">
        <f t="shared" si="69"/>
        <v/>
      </c>
      <c r="AI61" s="74" t="str">
        <f t="shared" si="75"/>
        <v/>
      </c>
      <c r="AJ61" s="62" t="str">
        <f t="shared" si="76"/>
        <v/>
      </c>
      <c r="AK61" s="70" t="str">
        <f t="shared" si="70"/>
        <v/>
      </c>
      <c r="AL61" s="69"/>
      <c r="AM61" s="62" t="str">
        <f t="shared" si="71"/>
        <v/>
      </c>
      <c r="AN61" s="70" t="str">
        <f t="shared" si="72"/>
        <v/>
      </c>
    </row>
    <row r="62" spans="1:46" ht="18" customHeight="1">
      <c r="A62" s="77" t="str">
        <f>IF($C$9="Data Not Entered On Set-Up Worksheet","",IF(OR(VLOOKUP($C$9,County_Lookup,13,FALSE)="",VLOOKUP($C$9,County_Lookup,13,FALSE)=0),"",VLOOKUP($C$9,County_Lookup,13,FALSE)))</f>
        <v/>
      </c>
      <c r="B62" s="69"/>
      <c r="C62" s="62" t="str">
        <f t="shared" si="48"/>
        <v/>
      </c>
      <c r="D62" s="70" t="str">
        <f t="shared" si="49"/>
        <v/>
      </c>
      <c r="E62" s="69"/>
      <c r="F62" s="62" t="str">
        <f t="shared" si="50"/>
        <v/>
      </c>
      <c r="G62" s="70" t="str">
        <f t="shared" si="51"/>
        <v/>
      </c>
      <c r="H62" s="69"/>
      <c r="I62" s="62" t="str">
        <f t="shared" si="52"/>
        <v/>
      </c>
      <c r="J62" s="70" t="str">
        <f t="shared" si="53"/>
        <v/>
      </c>
      <c r="K62" s="74" t="str">
        <f t="shared" si="73"/>
        <v/>
      </c>
      <c r="L62" s="62" t="str">
        <f t="shared" si="54"/>
        <v/>
      </c>
      <c r="M62" s="70" t="str">
        <f t="shared" si="55"/>
        <v/>
      </c>
      <c r="N62" s="69"/>
      <c r="O62" s="62" t="str">
        <f t="shared" si="56"/>
        <v/>
      </c>
      <c r="P62" s="70" t="str">
        <f t="shared" si="57"/>
        <v/>
      </c>
      <c r="Q62" s="69"/>
      <c r="R62" s="62" t="str">
        <f t="shared" si="58"/>
        <v/>
      </c>
      <c r="S62" s="70" t="str">
        <f t="shared" si="59"/>
        <v/>
      </c>
      <c r="T62" s="69"/>
      <c r="U62" s="62" t="str">
        <f t="shared" si="60"/>
        <v/>
      </c>
      <c r="V62" s="70" t="str">
        <f t="shared" si="61"/>
        <v/>
      </c>
      <c r="W62" s="74" t="str">
        <f t="shared" si="74"/>
        <v/>
      </c>
      <c r="X62" s="62" t="str">
        <f t="shared" si="62"/>
        <v/>
      </c>
      <c r="Y62" s="70" t="str">
        <f t="shared" si="63"/>
        <v/>
      </c>
      <c r="Z62" s="69"/>
      <c r="AA62" s="62" t="str">
        <f t="shared" si="64"/>
        <v/>
      </c>
      <c r="AB62" s="70" t="str">
        <f t="shared" si="65"/>
        <v/>
      </c>
      <c r="AC62" s="69"/>
      <c r="AD62" s="62" t="str">
        <f t="shared" si="66"/>
        <v/>
      </c>
      <c r="AE62" s="70" t="str">
        <f t="shared" si="67"/>
        <v/>
      </c>
      <c r="AF62" s="69"/>
      <c r="AG62" s="62" t="str">
        <f t="shared" si="68"/>
        <v/>
      </c>
      <c r="AH62" s="70" t="str">
        <f t="shared" si="69"/>
        <v/>
      </c>
      <c r="AI62" s="74" t="str">
        <f t="shared" si="75"/>
        <v/>
      </c>
      <c r="AJ62" s="62" t="str">
        <f t="shared" si="76"/>
        <v/>
      </c>
      <c r="AK62" s="70" t="str">
        <f t="shared" si="70"/>
        <v/>
      </c>
      <c r="AL62" s="69"/>
      <c r="AM62" s="62" t="str">
        <f t="shared" si="71"/>
        <v/>
      </c>
      <c r="AN62" s="70" t="str">
        <f t="shared" si="72"/>
        <v/>
      </c>
    </row>
    <row r="63" spans="1:46" ht="18" customHeight="1">
      <c r="A63" s="77" t="str">
        <f>IF($C$9="Data Not Entered On Set-Up Worksheet","",IF(OR(VLOOKUP($C$9,County_Lookup,14,FALSE)="",VLOOKUP($C$9,County_Lookup,14,FALSE)=0),"",VLOOKUP($C$9,County_Lookup,14,FALSE)))</f>
        <v/>
      </c>
      <c r="B63" s="69"/>
      <c r="C63" s="62" t="str">
        <f t="shared" si="48"/>
        <v/>
      </c>
      <c r="D63" s="70" t="str">
        <f t="shared" si="49"/>
        <v/>
      </c>
      <c r="E63" s="69"/>
      <c r="F63" s="62" t="str">
        <f t="shared" si="50"/>
        <v/>
      </c>
      <c r="G63" s="70" t="str">
        <f t="shared" si="51"/>
        <v/>
      </c>
      <c r="H63" s="69"/>
      <c r="I63" s="62" t="str">
        <f t="shared" si="52"/>
        <v/>
      </c>
      <c r="J63" s="70" t="str">
        <f t="shared" si="53"/>
        <v/>
      </c>
      <c r="K63" s="74" t="str">
        <f t="shared" si="73"/>
        <v/>
      </c>
      <c r="L63" s="62" t="str">
        <f t="shared" si="54"/>
        <v/>
      </c>
      <c r="M63" s="70" t="str">
        <f t="shared" si="55"/>
        <v/>
      </c>
      <c r="N63" s="69"/>
      <c r="O63" s="62" t="str">
        <f t="shared" si="56"/>
        <v/>
      </c>
      <c r="P63" s="70" t="str">
        <f t="shared" si="57"/>
        <v/>
      </c>
      <c r="Q63" s="69"/>
      <c r="R63" s="62" t="str">
        <f t="shared" si="58"/>
        <v/>
      </c>
      <c r="S63" s="70" t="str">
        <f t="shared" si="59"/>
        <v/>
      </c>
      <c r="T63" s="69"/>
      <c r="U63" s="62" t="str">
        <f t="shared" si="60"/>
        <v/>
      </c>
      <c r="V63" s="70" t="str">
        <f t="shared" si="61"/>
        <v/>
      </c>
      <c r="W63" s="74" t="str">
        <f t="shared" si="74"/>
        <v/>
      </c>
      <c r="X63" s="62" t="str">
        <f t="shared" si="62"/>
        <v/>
      </c>
      <c r="Y63" s="70" t="str">
        <f t="shared" si="63"/>
        <v/>
      </c>
      <c r="Z63" s="69"/>
      <c r="AA63" s="62" t="str">
        <f t="shared" si="64"/>
        <v/>
      </c>
      <c r="AB63" s="70" t="str">
        <f t="shared" si="65"/>
        <v/>
      </c>
      <c r="AC63" s="69"/>
      <c r="AD63" s="62" t="str">
        <f t="shared" si="66"/>
        <v/>
      </c>
      <c r="AE63" s="70" t="str">
        <f t="shared" si="67"/>
        <v/>
      </c>
      <c r="AF63" s="69"/>
      <c r="AG63" s="62" t="str">
        <f t="shared" si="68"/>
        <v/>
      </c>
      <c r="AH63" s="70" t="str">
        <f t="shared" si="69"/>
        <v/>
      </c>
      <c r="AI63" s="74" t="str">
        <f t="shared" si="75"/>
        <v/>
      </c>
      <c r="AJ63" s="62" t="str">
        <f t="shared" si="76"/>
        <v/>
      </c>
      <c r="AK63" s="70" t="str">
        <f t="shared" si="70"/>
        <v/>
      </c>
      <c r="AL63" s="69"/>
      <c r="AM63" s="62" t="str">
        <f t="shared" si="71"/>
        <v/>
      </c>
      <c r="AN63" s="70" t="str">
        <f t="shared" si="72"/>
        <v/>
      </c>
    </row>
    <row r="64" spans="1:46" ht="18" customHeight="1">
      <c r="A64" s="76" t="str">
        <f>IF($C$9="Data Not Entered On Set-Up Worksheet","",IF(OR(VLOOKUP($C$9,County_Lookup,15,FALSE)="",VLOOKUP($C$9,County_Lookup,15,FALSE)=0),"",VLOOKUP($C$9,County_Lookup,15,FALSE)))</f>
        <v/>
      </c>
      <c r="B64" s="69"/>
      <c r="C64" s="62" t="str">
        <f t="shared" si="48"/>
        <v/>
      </c>
      <c r="D64" s="70" t="str">
        <f t="shared" si="49"/>
        <v/>
      </c>
      <c r="E64" s="69"/>
      <c r="F64" s="62" t="str">
        <f t="shared" si="50"/>
        <v/>
      </c>
      <c r="G64" s="70" t="str">
        <f t="shared" si="51"/>
        <v/>
      </c>
      <c r="H64" s="69"/>
      <c r="I64" s="62" t="str">
        <f t="shared" si="52"/>
        <v/>
      </c>
      <c r="J64" s="70" t="str">
        <f t="shared" si="53"/>
        <v/>
      </c>
      <c r="K64" s="74" t="str">
        <f t="shared" si="73"/>
        <v/>
      </c>
      <c r="L64" s="62" t="str">
        <f t="shared" si="54"/>
        <v/>
      </c>
      <c r="M64" s="70" t="str">
        <f t="shared" si="55"/>
        <v/>
      </c>
      <c r="N64" s="69"/>
      <c r="O64" s="62" t="str">
        <f t="shared" si="56"/>
        <v/>
      </c>
      <c r="P64" s="70" t="str">
        <f t="shared" si="57"/>
        <v/>
      </c>
      <c r="Q64" s="69"/>
      <c r="R64" s="62" t="str">
        <f t="shared" si="58"/>
        <v/>
      </c>
      <c r="S64" s="70" t="str">
        <f t="shared" si="59"/>
        <v/>
      </c>
      <c r="T64" s="69"/>
      <c r="U64" s="62" t="str">
        <f t="shared" si="60"/>
        <v/>
      </c>
      <c r="V64" s="70" t="str">
        <f t="shared" si="61"/>
        <v/>
      </c>
      <c r="W64" s="74" t="str">
        <f t="shared" si="74"/>
        <v/>
      </c>
      <c r="X64" s="62" t="str">
        <f t="shared" si="62"/>
        <v/>
      </c>
      <c r="Y64" s="70" t="str">
        <f t="shared" si="63"/>
        <v/>
      </c>
      <c r="Z64" s="69"/>
      <c r="AA64" s="62" t="str">
        <f t="shared" si="64"/>
        <v/>
      </c>
      <c r="AB64" s="70" t="str">
        <f t="shared" si="65"/>
        <v/>
      </c>
      <c r="AC64" s="69"/>
      <c r="AD64" s="62" t="str">
        <f t="shared" si="66"/>
        <v/>
      </c>
      <c r="AE64" s="70" t="str">
        <f t="shared" si="67"/>
        <v/>
      </c>
      <c r="AF64" s="69"/>
      <c r="AG64" s="62" t="str">
        <f t="shared" si="68"/>
        <v/>
      </c>
      <c r="AH64" s="70" t="str">
        <f t="shared" si="69"/>
        <v/>
      </c>
      <c r="AI64" s="74" t="str">
        <f t="shared" si="75"/>
        <v/>
      </c>
      <c r="AJ64" s="62" t="str">
        <f t="shared" si="76"/>
        <v/>
      </c>
      <c r="AK64" s="70" t="str">
        <f t="shared" si="70"/>
        <v/>
      </c>
      <c r="AL64" s="69"/>
      <c r="AM64" s="62" t="str">
        <f t="shared" si="71"/>
        <v/>
      </c>
      <c r="AN64" s="70" t="str">
        <f t="shared" si="72"/>
        <v/>
      </c>
    </row>
    <row r="65" spans="1:40" ht="18" customHeight="1">
      <c r="A65" s="77" t="str">
        <f>IF($C$9="Data Not Entered On Set-Up Worksheet","",IF(OR(VLOOKUP($C$9,County_Lookup,16,FALSE)="",VLOOKUP($C$9,County_Lookup,16,FALSE)=0),"",VLOOKUP($C$9,County_Lookup,16,FALSE)))</f>
        <v/>
      </c>
      <c r="B65" s="69"/>
      <c r="C65" s="62" t="str">
        <f t="shared" si="48"/>
        <v/>
      </c>
      <c r="D65" s="70" t="str">
        <f t="shared" si="49"/>
        <v/>
      </c>
      <c r="E65" s="69"/>
      <c r="F65" s="62" t="str">
        <f t="shared" si="50"/>
        <v/>
      </c>
      <c r="G65" s="70" t="str">
        <f t="shared" si="51"/>
        <v/>
      </c>
      <c r="H65" s="69"/>
      <c r="I65" s="62" t="str">
        <f t="shared" si="52"/>
        <v/>
      </c>
      <c r="J65" s="70" t="str">
        <f t="shared" si="53"/>
        <v/>
      </c>
      <c r="K65" s="74" t="str">
        <f t="shared" si="73"/>
        <v/>
      </c>
      <c r="L65" s="62" t="str">
        <f t="shared" si="54"/>
        <v/>
      </c>
      <c r="M65" s="70" t="str">
        <f t="shared" si="55"/>
        <v/>
      </c>
      <c r="N65" s="69"/>
      <c r="O65" s="62" t="str">
        <f t="shared" si="56"/>
        <v/>
      </c>
      <c r="P65" s="70" t="str">
        <f t="shared" si="57"/>
        <v/>
      </c>
      <c r="Q65" s="69"/>
      <c r="R65" s="62" t="str">
        <f t="shared" si="58"/>
        <v/>
      </c>
      <c r="S65" s="70" t="str">
        <f t="shared" si="59"/>
        <v/>
      </c>
      <c r="T65" s="69"/>
      <c r="U65" s="62" t="str">
        <f t="shared" si="60"/>
        <v/>
      </c>
      <c r="V65" s="70" t="str">
        <f t="shared" si="61"/>
        <v/>
      </c>
      <c r="W65" s="74" t="str">
        <f t="shared" si="74"/>
        <v/>
      </c>
      <c r="X65" s="62" t="str">
        <f t="shared" si="62"/>
        <v/>
      </c>
      <c r="Y65" s="70" t="str">
        <f t="shared" si="63"/>
        <v/>
      </c>
      <c r="Z65" s="69"/>
      <c r="AA65" s="62" t="str">
        <f t="shared" si="64"/>
        <v/>
      </c>
      <c r="AB65" s="70" t="str">
        <f t="shared" si="65"/>
        <v/>
      </c>
      <c r="AC65" s="69"/>
      <c r="AD65" s="62" t="str">
        <f t="shared" si="66"/>
        <v/>
      </c>
      <c r="AE65" s="70" t="str">
        <f t="shared" si="67"/>
        <v/>
      </c>
      <c r="AF65" s="69"/>
      <c r="AG65" s="62" t="str">
        <f t="shared" si="68"/>
        <v/>
      </c>
      <c r="AH65" s="70" t="str">
        <f t="shared" si="69"/>
        <v/>
      </c>
      <c r="AI65" s="74" t="str">
        <f t="shared" si="75"/>
        <v/>
      </c>
      <c r="AJ65" s="62" t="str">
        <f t="shared" si="76"/>
        <v/>
      </c>
      <c r="AK65" s="70" t="str">
        <f t="shared" si="70"/>
        <v/>
      </c>
      <c r="AL65" s="69"/>
      <c r="AM65" s="62" t="str">
        <f t="shared" si="71"/>
        <v/>
      </c>
      <c r="AN65" s="70" t="str">
        <f t="shared" si="72"/>
        <v/>
      </c>
    </row>
    <row r="66" spans="1:40" ht="18" customHeight="1">
      <c r="A66" s="77" t="str">
        <f>IF($C$9="Data Not Entered On Set-Up Worksheet","",IF(OR(VLOOKUP($C$9,County_Lookup,17,FALSE)="",VLOOKUP($C$9,County_Lookup,17,FALSE)=0),"",VLOOKUP($C$9,County_Lookup,17,FALSE)))</f>
        <v/>
      </c>
      <c r="B66" s="69"/>
      <c r="C66" s="62" t="str">
        <f t="shared" si="48"/>
        <v/>
      </c>
      <c r="D66" s="70" t="str">
        <f t="shared" si="49"/>
        <v/>
      </c>
      <c r="E66" s="69"/>
      <c r="F66" s="62" t="str">
        <f t="shared" si="50"/>
        <v/>
      </c>
      <c r="G66" s="70" t="str">
        <f t="shared" si="51"/>
        <v/>
      </c>
      <c r="H66" s="69"/>
      <c r="I66" s="62" t="str">
        <f t="shared" si="52"/>
        <v/>
      </c>
      <c r="J66" s="70" t="str">
        <f t="shared" si="53"/>
        <v/>
      </c>
      <c r="K66" s="74" t="str">
        <f t="shared" si="73"/>
        <v/>
      </c>
      <c r="L66" s="62" t="str">
        <f t="shared" si="54"/>
        <v/>
      </c>
      <c r="M66" s="70" t="str">
        <f t="shared" si="55"/>
        <v/>
      </c>
      <c r="N66" s="69"/>
      <c r="O66" s="62" t="str">
        <f t="shared" si="56"/>
        <v/>
      </c>
      <c r="P66" s="70" t="str">
        <f t="shared" si="57"/>
        <v/>
      </c>
      <c r="Q66" s="69"/>
      <c r="R66" s="62" t="str">
        <f t="shared" si="58"/>
        <v/>
      </c>
      <c r="S66" s="70" t="str">
        <f t="shared" si="59"/>
        <v/>
      </c>
      <c r="T66" s="69"/>
      <c r="U66" s="62" t="str">
        <f t="shared" si="60"/>
        <v/>
      </c>
      <c r="V66" s="70" t="str">
        <f t="shared" si="61"/>
        <v/>
      </c>
      <c r="W66" s="74" t="str">
        <f t="shared" si="74"/>
        <v/>
      </c>
      <c r="X66" s="62" t="str">
        <f t="shared" si="62"/>
        <v/>
      </c>
      <c r="Y66" s="70" t="str">
        <f t="shared" si="63"/>
        <v/>
      </c>
      <c r="Z66" s="69"/>
      <c r="AA66" s="62" t="str">
        <f t="shared" si="64"/>
        <v/>
      </c>
      <c r="AB66" s="70" t="str">
        <f t="shared" si="65"/>
        <v/>
      </c>
      <c r="AC66" s="69"/>
      <c r="AD66" s="62" t="str">
        <f t="shared" si="66"/>
        <v/>
      </c>
      <c r="AE66" s="70" t="str">
        <f t="shared" si="67"/>
        <v/>
      </c>
      <c r="AF66" s="69"/>
      <c r="AG66" s="62" t="str">
        <f t="shared" si="68"/>
        <v/>
      </c>
      <c r="AH66" s="70" t="str">
        <f t="shared" si="69"/>
        <v/>
      </c>
      <c r="AI66" s="74" t="str">
        <f t="shared" si="75"/>
        <v/>
      </c>
      <c r="AJ66" s="62" t="str">
        <f t="shared" si="76"/>
        <v/>
      </c>
      <c r="AK66" s="70" t="str">
        <f t="shared" si="70"/>
        <v/>
      </c>
      <c r="AL66" s="69"/>
      <c r="AM66" s="62" t="str">
        <f t="shared" si="71"/>
        <v/>
      </c>
      <c r="AN66" s="70" t="str">
        <f t="shared" si="72"/>
        <v/>
      </c>
    </row>
    <row r="67" spans="1:40" ht="18" customHeight="1">
      <c r="A67" s="77" t="str">
        <f>IF($C$9="Data Not Entered On Set-Up Worksheet","",IF(OR(VLOOKUP($C$9,County_Lookup,18,FALSE)="",VLOOKUP($C$9,County_Lookup,18,FALSE)=0),"",VLOOKUP($C$9,County_Lookup,18,FALSE)))</f>
        <v/>
      </c>
      <c r="B67" s="69"/>
      <c r="C67" s="62" t="str">
        <f t="shared" si="48"/>
        <v/>
      </c>
      <c r="D67" s="70" t="str">
        <f t="shared" si="49"/>
        <v/>
      </c>
      <c r="E67" s="69"/>
      <c r="F67" s="62" t="str">
        <f t="shared" si="50"/>
        <v/>
      </c>
      <c r="G67" s="70" t="str">
        <f t="shared" si="51"/>
        <v/>
      </c>
      <c r="H67" s="69"/>
      <c r="I67" s="62" t="str">
        <f t="shared" si="52"/>
        <v/>
      </c>
      <c r="J67" s="70" t="str">
        <f t="shared" si="53"/>
        <v/>
      </c>
      <c r="K67" s="74" t="str">
        <f t="shared" si="73"/>
        <v/>
      </c>
      <c r="L67" s="62" t="str">
        <f t="shared" si="54"/>
        <v/>
      </c>
      <c r="M67" s="70" t="str">
        <f t="shared" si="55"/>
        <v/>
      </c>
      <c r="N67" s="69"/>
      <c r="O67" s="62" t="str">
        <f t="shared" si="56"/>
        <v/>
      </c>
      <c r="P67" s="70" t="str">
        <f t="shared" si="57"/>
        <v/>
      </c>
      <c r="Q67" s="69"/>
      <c r="R67" s="62" t="str">
        <f t="shared" si="58"/>
        <v/>
      </c>
      <c r="S67" s="70" t="str">
        <f t="shared" si="59"/>
        <v/>
      </c>
      <c r="T67" s="69"/>
      <c r="U67" s="62" t="str">
        <f t="shared" si="60"/>
        <v/>
      </c>
      <c r="V67" s="70" t="str">
        <f t="shared" si="61"/>
        <v/>
      </c>
      <c r="W67" s="74" t="str">
        <f t="shared" si="74"/>
        <v/>
      </c>
      <c r="X67" s="62" t="str">
        <f t="shared" si="62"/>
        <v/>
      </c>
      <c r="Y67" s="70" t="str">
        <f t="shared" si="63"/>
        <v/>
      </c>
      <c r="Z67" s="69"/>
      <c r="AA67" s="62" t="str">
        <f t="shared" si="64"/>
        <v/>
      </c>
      <c r="AB67" s="70" t="str">
        <f t="shared" si="65"/>
        <v/>
      </c>
      <c r="AC67" s="69"/>
      <c r="AD67" s="62" t="str">
        <f t="shared" si="66"/>
        <v/>
      </c>
      <c r="AE67" s="70" t="str">
        <f t="shared" si="67"/>
        <v/>
      </c>
      <c r="AF67" s="69"/>
      <c r="AG67" s="62" t="str">
        <f t="shared" si="68"/>
        <v/>
      </c>
      <c r="AH67" s="70" t="str">
        <f t="shared" si="69"/>
        <v/>
      </c>
      <c r="AI67" s="74" t="str">
        <f t="shared" si="75"/>
        <v/>
      </c>
      <c r="AJ67" s="62" t="str">
        <f t="shared" si="76"/>
        <v/>
      </c>
      <c r="AK67" s="70" t="str">
        <f t="shared" si="70"/>
        <v/>
      </c>
      <c r="AL67" s="69"/>
      <c r="AM67" s="62" t="str">
        <f t="shared" si="71"/>
        <v/>
      </c>
      <c r="AN67" s="70" t="str">
        <f t="shared" si="72"/>
        <v/>
      </c>
    </row>
    <row r="68" spans="1:40" ht="18" customHeight="1">
      <c r="A68" s="77" t="str">
        <f>IF($C$9="Data Not Entered On Set-Up Worksheet","",IF(OR(VLOOKUP($C$9,County_Lookup,19,FALSE)="",VLOOKUP($C$9,County_Lookup,19,FALSE)=0),"",VLOOKUP($C$9,County_Lookup,19,FALSE)))</f>
        <v/>
      </c>
      <c r="B68" s="69"/>
      <c r="C68" s="62" t="str">
        <f t="shared" si="48"/>
        <v/>
      </c>
      <c r="D68" s="70" t="str">
        <f t="shared" si="49"/>
        <v/>
      </c>
      <c r="E68" s="69"/>
      <c r="F68" s="62" t="str">
        <f t="shared" si="50"/>
        <v/>
      </c>
      <c r="G68" s="70" t="str">
        <f t="shared" si="51"/>
        <v/>
      </c>
      <c r="H68" s="69"/>
      <c r="I68" s="62" t="str">
        <f t="shared" si="52"/>
        <v/>
      </c>
      <c r="J68" s="70" t="str">
        <f t="shared" si="53"/>
        <v/>
      </c>
      <c r="K68" s="74" t="str">
        <f t="shared" si="73"/>
        <v/>
      </c>
      <c r="L68" s="62" t="str">
        <f t="shared" si="54"/>
        <v/>
      </c>
      <c r="M68" s="70" t="str">
        <f t="shared" si="55"/>
        <v/>
      </c>
      <c r="N68" s="69"/>
      <c r="O68" s="62" t="str">
        <f t="shared" si="56"/>
        <v/>
      </c>
      <c r="P68" s="70" t="str">
        <f t="shared" si="57"/>
        <v/>
      </c>
      <c r="Q68" s="69"/>
      <c r="R68" s="62" t="str">
        <f t="shared" si="58"/>
        <v/>
      </c>
      <c r="S68" s="70" t="str">
        <f t="shared" si="59"/>
        <v/>
      </c>
      <c r="T68" s="69"/>
      <c r="U68" s="62" t="str">
        <f t="shared" si="60"/>
        <v/>
      </c>
      <c r="V68" s="70" t="str">
        <f t="shared" si="61"/>
        <v/>
      </c>
      <c r="W68" s="74" t="str">
        <f t="shared" si="74"/>
        <v/>
      </c>
      <c r="X68" s="62" t="str">
        <f t="shared" si="62"/>
        <v/>
      </c>
      <c r="Y68" s="70" t="str">
        <f t="shared" si="63"/>
        <v/>
      </c>
      <c r="Z68" s="69"/>
      <c r="AA68" s="62" t="str">
        <f t="shared" si="64"/>
        <v/>
      </c>
      <c r="AB68" s="70" t="str">
        <f t="shared" si="65"/>
        <v/>
      </c>
      <c r="AC68" s="69"/>
      <c r="AD68" s="62" t="str">
        <f t="shared" si="66"/>
        <v/>
      </c>
      <c r="AE68" s="70" t="str">
        <f t="shared" si="67"/>
        <v/>
      </c>
      <c r="AF68" s="69"/>
      <c r="AG68" s="62" t="str">
        <f t="shared" si="68"/>
        <v/>
      </c>
      <c r="AH68" s="70" t="str">
        <f t="shared" si="69"/>
        <v/>
      </c>
      <c r="AI68" s="74" t="str">
        <f t="shared" si="75"/>
        <v/>
      </c>
      <c r="AJ68" s="62" t="str">
        <f t="shared" si="76"/>
        <v/>
      </c>
      <c r="AK68" s="70" t="str">
        <f t="shared" si="70"/>
        <v/>
      </c>
      <c r="AL68" s="69"/>
      <c r="AM68" s="62" t="str">
        <f t="shared" si="71"/>
        <v/>
      </c>
      <c r="AN68" s="70" t="str">
        <f t="shared" si="72"/>
        <v/>
      </c>
    </row>
    <row r="69" spans="1:40" ht="18" customHeight="1">
      <c r="A69" s="77" t="str">
        <f>IF($C$9="Data Not Entered On Set-Up Worksheet","",IF(OR(VLOOKUP($C$9,County_Lookup,20,FALSE)="",VLOOKUP($C$9,County_Lookup,20,FALSE)=0),"",VLOOKUP($C$9,County_Lookup,20,FALSE)))</f>
        <v/>
      </c>
      <c r="B69" s="69"/>
      <c r="C69" s="62" t="str">
        <f t="shared" si="48"/>
        <v/>
      </c>
      <c r="D69" s="70" t="str">
        <f t="shared" si="49"/>
        <v/>
      </c>
      <c r="E69" s="69"/>
      <c r="F69" s="62" t="str">
        <f t="shared" si="50"/>
        <v/>
      </c>
      <c r="G69" s="70" t="str">
        <f t="shared" si="51"/>
        <v/>
      </c>
      <c r="H69" s="69"/>
      <c r="I69" s="62" t="str">
        <f t="shared" si="52"/>
        <v/>
      </c>
      <c r="J69" s="70" t="str">
        <f t="shared" si="53"/>
        <v/>
      </c>
      <c r="K69" s="74" t="str">
        <f t="shared" si="73"/>
        <v/>
      </c>
      <c r="L69" s="62" t="str">
        <f t="shared" si="54"/>
        <v/>
      </c>
      <c r="M69" s="70" t="str">
        <f t="shared" si="55"/>
        <v/>
      </c>
      <c r="N69" s="69"/>
      <c r="O69" s="62" t="str">
        <f t="shared" si="56"/>
        <v/>
      </c>
      <c r="P69" s="70" t="str">
        <f t="shared" si="57"/>
        <v/>
      </c>
      <c r="Q69" s="69"/>
      <c r="R69" s="62" t="str">
        <f t="shared" si="58"/>
        <v/>
      </c>
      <c r="S69" s="70" t="str">
        <f t="shared" si="59"/>
        <v/>
      </c>
      <c r="T69" s="69"/>
      <c r="U69" s="62" t="str">
        <f t="shared" si="60"/>
        <v/>
      </c>
      <c r="V69" s="70" t="str">
        <f t="shared" si="61"/>
        <v/>
      </c>
      <c r="W69" s="74" t="str">
        <f t="shared" si="74"/>
        <v/>
      </c>
      <c r="X69" s="62" t="str">
        <f t="shared" si="62"/>
        <v/>
      </c>
      <c r="Y69" s="70" t="str">
        <f t="shared" si="63"/>
        <v/>
      </c>
      <c r="Z69" s="69"/>
      <c r="AA69" s="62" t="str">
        <f t="shared" si="64"/>
        <v/>
      </c>
      <c r="AB69" s="70" t="str">
        <f t="shared" si="65"/>
        <v/>
      </c>
      <c r="AC69" s="69"/>
      <c r="AD69" s="62" t="str">
        <f t="shared" si="66"/>
        <v/>
      </c>
      <c r="AE69" s="70" t="str">
        <f t="shared" si="67"/>
        <v/>
      </c>
      <c r="AF69" s="69"/>
      <c r="AG69" s="62" t="str">
        <f t="shared" si="68"/>
        <v/>
      </c>
      <c r="AH69" s="70" t="str">
        <f t="shared" si="69"/>
        <v/>
      </c>
      <c r="AI69" s="74" t="str">
        <f t="shared" si="75"/>
        <v/>
      </c>
      <c r="AJ69" s="62" t="str">
        <f t="shared" si="76"/>
        <v/>
      </c>
      <c r="AK69" s="70" t="str">
        <f t="shared" si="70"/>
        <v/>
      </c>
      <c r="AL69" s="69"/>
      <c r="AM69" s="62" t="str">
        <f t="shared" si="71"/>
        <v/>
      </c>
      <c r="AN69" s="70" t="str">
        <f t="shared" si="72"/>
        <v/>
      </c>
    </row>
    <row r="70" spans="1:40" ht="18" customHeight="1">
      <c r="A70" s="77" t="str">
        <f>IF($C$9="Data Not Entered On Set-Up Worksheet","",IF(OR(VLOOKUP($C$9,County_Lookup,21,FALSE)="",VLOOKUP($C$9,County_Lookup,21,FALSE)=0),"",VLOOKUP($C$9,County_Lookup,21,FALSE)))</f>
        <v/>
      </c>
      <c r="B70" s="69"/>
      <c r="C70" s="62" t="str">
        <f t="shared" si="48"/>
        <v/>
      </c>
      <c r="D70" s="70" t="str">
        <f t="shared" si="49"/>
        <v/>
      </c>
      <c r="E70" s="69"/>
      <c r="F70" s="62" t="str">
        <f t="shared" si="50"/>
        <v/>
      </c>
      <c r="G70" s="70" t="str">
        <f t="shared" si="51"/>
        <v/>
      </c>
      <c r="H70" s="69"/>
      <c r="I70" s="62" t="str">
        <f t="shared" si="52"/>
        <v/>
      </c>
      <c r="J70" s="70" t="str">
        <f t="shared" si="53"/>
        <v/>
      </c>
      <c r="K70" s="74" t="str">
        <f t="shared" si="73"/>
        <v/>
      </c>
      <c r="L70" s="62" t="str">
        <f t="shared" si="54"/>
        <v/>
      </c>
      <c r="M70" s="70" t="str">
        <f t="shared" si="55"/>
        <v/>
      </c>
      <c r="N70" s="69"/>
      <c r="O70" s="62" t="str">
        <f t="shared" si="56"/>
        <v/>
      </c>
      <c r="P70" s="70" t="str">
        <f t="shared" si="57"/>
        <v/>
      </c>
      <c r="Q70" s="69"/>
      <c r="R70" s="62" t="str">
        <f t="shared" si="58"/>
        <v/>
      </c>
      <c r="S70" s="70" t="str">
        <f t="shared" si="59"/>
        <v/>
      </c>
      <c r="T70" s="69"/>
      <c r="U70" s="62" t="str">
        <f t="shared" si="60"/>
        <v/>
      </c>
      <c r="V70" s="70" t="str">
        <f t="shared" si="61"/>
        <v/>
      </c>
      <c r="W70" s="74" t="str">
        <f t="shared" si="74"/>
        <v/>
      </c>
      <c r="X70" s="62" t="str">
        <f t="shared" si="62"/>
        <v/>
      </c>
      <c r="Y70" s="70" t="str">
        <f t="shared" si="63"/>
        <v/>
      </c>
      <c r="Z70" s="69"/>
      <c r="AA70" s="62" t="str">
        <f t="shared" si="64"/>
        <v/>
      </c>
      <c r="AB70" s="70" t="str">
        <f t="shared" si="65"/>
        <v/>
      </c>
      <c r="AC70" s="69"/>
      <c r="AD70" s="62" t="str">
        <f t="shared" si="66"/>
        <v/>
      </c>
      <c r="AE70" s="70" t="str">
        <f t="shared" si="67"/>
        <v/>
      </c>
      <c r="AF70" s="69"/>
      <c r="AG70" s="62" t="str">
        <f t="shared" si="68"/>
        <v/>
      </c>
      <c r="AH70" s="70" t="str">
        <f t="shared" si="69"/>
        <v/>
      </c>
      <c r="AI70" s="74" t="str">
        <f t="shared" si="75"/>
        <v/>
      </c>
      <c r="AJ70" s="62" t="str">
        <f t="shared" si="76"/>
        <v/>
      </c>
      <c r="AK70" s="70" t="str">
        <f t="shared" si="70"/>
        <v/>
      </c>
      <c r="AL70" s="69"/>
      <c r="AM70" s="62" t="str">
        <f t="shared" si="71"/>
        <v/>
      </c>
      <c r="AN70" s="70" t="str">
        <f t="shared" si="72"/>
        <v/>
      </c>
    </row>
    <row r="71" spans="1:40" ht="18" customHeight="1">
      <c r="A71" s="76" t="str">
        <f>IF($C$9="Data Not Entered On Set-Up Worksheet","",IF(OR(VLOOKUP($C$9,County_Lookup,22,FALSE)="",VLOOKUP($C$9,County_Lookup,22,FALSE)=0),"",VLOOKUP($C$9,County_Lookup,22,FALSE)))</f>
        <v/>
      </c>
      <c r="B71" s="69"/>
      <c r="C71" s="62" t="str">
        <f t="shared" si="48"/>
        <v/>
      </c>
      <c r="D71" s="70" t="str">
        <f t="shared" si="49"/>
        <v/>
      </c>
      <c r="E71" s="69"/>
      <c r="F71" s="62" t="str">
        <f t="shared" si="50"/>
        <v/>
      </c>
      <c r="G71" s="70" t="str">
        <f t="shared" si="51"/>
        <v/>
      </c>
      <c r="H71" s="69"/>
      <c r="I71" s="62" t="str">
        <f t="shared" si="52"/>
        <v/>
      </c>
      <c r="J71" s="70" t="str">
        <f t="shared" si="53"/>
        <v/>
      </c>
      <c r="K71" s="74" t="str">
        <f t="shared" si="73"/>
        <v/>
      </c>
      <c r="L71" s="62" t="str">
        <f t="shared" si="54"/>
        <v/>
      </c>
      <c r="M71" s="70" t="str">
        <f t="shared" si="55"/>
        <v/>
      </c>
      <c r="N71" s="69"/>
      <c r="O71" s="62" t="str">
        <f t="shared" si="56"/>
        <v/>
      </c>
      <c r="P71" s="70" t="str">
        <f t="shared" si="57"/>
        <v/>
      </c>
      <c r="Q71" s="69"/>
      <c r="R71" s="62" t="str">
        <f t="shared" si="58"/>
        <v/>
      </c>
      <c r="S71" s="70" t="str">
        <f t="shared" si="59"/>
        <v/>
      </c>
      <c r="T71" s="69"/>
      <c r="U71" s="62" t="str">
        <f t="shared" si="60"/>
        <v/>
      </c>
      <c r="V71" s="70" t="str">
        <f t="shared" si="61"/>
        <v/>
      </c>
      <c r="W71" s="74" t="str">
        <f t="shared" si="74"/>
        <v/>
      </c>
      <c r="X71" s="62" t="str">
        <f t="shared" si="62"/>
        <v/>
      </c>
      <c r="Y71" s="70" t="str">
        <f t="shared" si="63"/>
        <v/>
      </c>
      <c r="Z71" s="69"/>
      <c r="AA71" s="62" t="str">
        <f t="shared" si="64"/>
        <v/>
      </c>
      <c r="AB71" s="70" t="str">
        <f t="shared" si="65"/>
        <v/>
      </c>
      <c r="AC71" s="69"/>
      <c r="AD71" s="62" t="str">
        <f t="shared" si="66"/>
        <v/>
      </c>
      <c r="AE71" s="70" t="str">
        <f t="shared" si="67"/>
        <v/>
      </c>
      <c r="AF71" s="69"/>
      <c r="AG71" s="62" t="str">
        <f t="shared" si="68"/>
        <v/>
      </c>
      <c r="AH71" s="70" t="str">
        <f t="shared" si="69"/>
        <v/>
      </c>
      <c r="AI71" s="74" t="str">
        <f t="shared" si="75"/>
        <v/>
      </c>
      <c r="AJ71" s="62" t="str">
        <f t="shared" si="76"/>
        <v/>
      </c>
      <c r="AK71" s="70" t="str">
        <f t="shared" si="70"/>
        <v/>
      </c>
      <c r="AL71" s="69"/>
      <c r="AM71" s="62" t="str">
        <f t="shared" si="71"/>
        <v/>
      </c>
      <c r="AN71" s="70" t="str">
        <f t="shared" si="72"/>
        <v/>
      </c>
    </row>
    <row r="72" spans="1:40" ht="18" customHeight="1">
      <c r="A72" s="77" t="str">
        <f>IF($C$9="Data Not Entered On Set-Up Worksheet","",IF(OR(VLOOKUP($C$9,County_Lookup,23,FALSE)="",VLOOKUP($C$9,County_Lookup,23,FALSE)=0),"",VLOOKUP($C$9,County_Lookup,23,FALSE)))</f>
        <v/>
      </c>
      <c r="B72" s="69"/>
      <c r="C72" s="62" t="str">
        <f t="shared" si="48"/>
        <v/>
      </c>
      <c r="D72" s="70" t="str">
        <f t="shared" si="49"/>
        <v/>
      </c>
      <c r="E72" s="69"/>
      <c r="F72" s="62" t="str">
        <f t="shared" si="50"/>
        <v/>
      </c>
      <c r="G72" s="70" t="str">
        <f t="shared" si="51"/>
        <v/>
      </c>
      <c r="H72" s="69"/>
      <c r="I72" s="62" t="str">
        <f t="shared" si="52"/>
        <v/>
      </c>
      <c r="J72" s="70" t="str">
        <f t="shared" si="53"/>
        <v/>
      </c>
      <c r="K72" s="74" t="str">
        <f t="shared" si="73"/>
        <v/>
      </c>
      <c r="L72" s="62" t="str">
        <f t="shared" si="54"/>
        <v/>
      </c>
      <c r="M72" s="70" t="str">
        <f t="shared" si="55"/>
        <v/>
      </c>
      <c r="N72" s="69"/>
      <c r="O72" s="62" t="str">
        <f t="shared" si="56"/>
        <v/>
      </c>
      <c r="P72" s="70" t="str">
        <f t="shared" si="57"/>
        <v/>
      </c>
      <c r="Q72" s="69"/>
      <c r="R72" s="62" t="str">
        <f t="shared" si="58"/>
        <v/>
      </c>
      <c r="S72" s="70" t="str">
        <f t="shared" si="59"/>
        <v/>
      </c>
      <c r="T72" s="69"/>
      <c r="U72" s="62" t="str">
        <f t="shared" si="60"/>
        <v/>
      </c>
      <c r="V72" s="70" t="str">
        <f t="shared" si="61"/>
        <v/>
      </c>
      <c r="W72" s="74" t="str">
        <f t="shared" si="74"/>
        <v/>
      </c>
      <c r="X72" s="62" t="str">
        <f t="shared" si="62"/>
        <v/>
      </c>
      <c r="Y72" s="70" t="str">
        <f t="shared" si="63"/>
        <v/>
      </c>
      <c r="Z72" s="69"/>
      <c r="AA72" s="62" t="str">
        <f t="shared" si="64"/>
        <v/>
      </c>
      <c r="AB72" s="70" t="str">
        <f t="shared" si="65"/>
        <v/>
      </c>
      <c r="AC72" s="69"/>
      <c r="AD72" s="62" t="str">
        <f t="shared" si="66"/>
        <v/>
      </c>
      <c r="AE72" s="70" t="str">
        <f t="shared" si="67"/>
        <v/>
      </c>
      <c r="AF72" s="69"/>
      <c r="AG72" s="62" t="str">
        <f t="shared" si="68"/>
        <v/>
      </c>
      <c r="AH72" s="70" t="str">
        <f t="shared" si="69"/>
        <v/>
      </c>
      <c r="AI72" s="74" t="str">
        <f t="shared" si="75"/>
        <v/>
      </c>
      <c r="AJ72" s="62" t="str">
        <f t="shared" si="76"/>
        <v/>
      </c>
      <c r="AK72" s="70" t="str">
        <f t="shared" si="70"/>
        <v/>
      </c>
      <c r="AL72" s="69"/>
      <c r="AM72" s="62" t="str">
        <f t="shared" si="71"/>
        <v/>
      </c>
      <c r="AN72" s="70" t="str">
        <f t="shared" si="72"/>
        <v/>
      </c>
    </row>
    <row r="73" spans="1:40" ht="18" customHeight="1">
      <c r="A73" s="77" t="str">
        <f>IF($C$9="Data Not Entered On Set-Up Worksheet","",IF(OR(VLOOKUP($C$9,County_Lookup,24,FALSE)="",VLOOKUP($C$9,County_Lookup,24,FALSE)=0),"",VLOOKUP($C$9,County_Lookup,24,FALSE)))</f>
        <v/>
      </c>
      <c r="B73" s="69"/>
      <c r="C73" s="62" t="str">
        <f t="shared" si="48"/>
        <v/>
      </c>
      <c r="D73" s="70" t="str">
        <f t="shared" si="49"/>
        <v/>
      </c>
      <c r="E73" s="69"/>
      <c r="F73" s="62" t="str">
        <f t="shared" si="50"/>
        <v/>
      </c>
      <c r="G73" s="70" t="str">
        <f t="shared" si="51"/>
        <v/>
      </c>
      <c r="H73" s="69"/>
      <c r="I73" s="62" t="str">
        <f t="shared" si="52"/>
        <v/>
      </c>
      <c r="J73" s="70" t="str">
        <f t="shared" si="53"/>
        <v/>
      </c>
      <c r="K73" s="74" t="str">
        <f t="shared" ref="K73" si="77">IF($A73="","",SUM(E73,H73))</f>
        <v/>
      </c>
      <c r="L73" s="62" t="str">
        <f t="shared" si="54"/>
        <v/>
      </c>
      <c r="M73" s="70" t="str">
        <f t="shared" si="55"/>
        <v/>
      </c>
      <c r="N73" s="69"/>
      <c r="O73" s="62" t="str">
        <f t="shared" si="56"/>
        <v/>
      </c>
      <c r="P73" s="70" t="str">
        <f t="shared" si="57"/>
        <v/>
      </c>
      <c r="Q73" s="69"/>
      <c r="R73" s="62" t="str">
        <f t="shared" si="58"/>
        <v/>
      </c>
      <c r="S73" s="70" t="str">
        <f t="shared" si="59"/>
        <v/>
      </c>
      <c r="T73" s="69"/>
      <c r="U73" s="62" t="str">
        <f t="shared" si="60"/>
        <v/>
      </c>
      <c r="V73" s="70" t="str">
        <f t="shared" si="61"/>
        <v/>
      </c>
      <c r="W73" s="74" t="str">
        <f t="shared" ref="W73" si="78">IF($A73="","",SUM(Q73,T73))</f>
        <v/>
      </c>
      <c r="X73" s="62" t="str">
        <f t="shared" si="62"/>
        <v/>
      </c>
      <c r="Y73" s="70" t="str">
        <f t="shared" si="63"/>
        <v/>
      </c>
      <c r="Z73" s="69"/>
      <c r="AA73" s="62" t="str">
        <f t="shared" si="64"/>
        <v/>
      </c>
      <c r="AB73" s="70" t="str">
        <f t="shared" si="65"/>
        <v/>
      </c>
      <c r="AC73" s="69"/>
      <c r="AD73" s="62" t="str">
        <f t="shared" si="66"/>
        <v/>
      </c>
      <c r="AE73" s="70" t="str">
        <f t="shared" si="67"/>
        <v/>
      </c>
      <c r="AF73" s="69"/>
      <c r="AG73" s="62" t="str">
        <f t="shared" si="68"/>
        <v/>
      </c>
      <c r="AH73" s="70" t="str">
        <f t="shared" si="69"/>
        <v/>
      </c>
      <c r="AI73" s="74" t="str">
        <f t="shared" ref="AI73" si="79">IF($A73="","",SUM(AC73,AF73))</f>
        <v/>
      </c>
      <c r="AJ73" s="62" t="str">
        <f t="shared" si="76"/>
        <v/>
      </c>
      <c r="AK73" s="70" t="str">
        <f t="shared" si="70"/>
        <v/>
      </c>
      <c r="AL73" s="69"/>
      <c r="AM73" s="62" t="str">
        <f t="shared" si="71"/>
        <v/>
      </c>
      <c r="AN73" s="70" t="str">
        <f t="shared" si="72"/>
        <v/>
      </c>
    </row>
    <row r="74" spans="1:40" ht="18" customHeight="1">
      <c r="A74" s="77" t="str">
        <f>IF($C$9="Data Not Entered On Set-Up Worksheet","",IF(OR(VLOOKUP($C$9,County_Lookup,25,FALSE)="",VLOOKUP($C$9,County_Lookup,25,FALSE)=0),"",VLOOKUP($C$9,County_Lookup,25,FALSE)))</f>
        <v/>
      </c>
      <c r="B74" s="69"/>
      <c r="C74" s="62" t="str">
        <f t="shared" si="48"/>
        <v/>
      </c>
      <c r="D74" s="70" t="str">
        <f t="shared" si="49"/>
        <v/>
      </c>
      <c r="E74" s="69"/>
      <c r="F74" s="62" t="str">
        <f t="shared" si="50"/>
        <v/>
      </c>
      <c r="G74" s="70" t="str">
        <f t="shared" si="51"/>
        <v/>
      </c>
      <c r="H74" s="69"/>
      <c r="I74" s="62" t="str">
        <f t="shared" si="52"/>
        <v/>
      </c>
      <c r="J74" s="70" t="str">
        <f t="shared" si="53"/>
        <v/>
      </c>
      <c r="K74" s="74" t="str">
        <f t="shared" si="73"/>
        <v/>
      </c>
      <c r="L74" s="62" t="str">
        <f t="shared" si="54"/>
        <v/>
      </c>
      <c r="M74" s="70" t="str">
        <f t="shared" si="55"/>
        <v/>
      </c>
      <c r="N74" s="69"/>
      <c r="O74" s="62" t="str">
        <f t="shared" si="56"/>
        <v/>
      </c>
      <c r="P74" s="70" t="str">
        <f t="shared" si="57"/>
        <v/>
      </c>
      <c r="Q74" s="69"/>
      <c r="R74" s="62" t="str">
        <f t="shared" si="58"/>
        <v/>
      </c>
      <c r="S74" s="70" t="str">
        <f t="shared" si="59"/>
        <v/>
      </c>
      <c r="T74" s="69"/>
      <c r="U74" s="62" t="str">
        <f t="shared" si="60"/>
        <v/>
      </c>
      <c r="V74" s="70" t="str">
        <f t="shared" si="61"/>
        <v/>
      </c>
      <c r="W74" s="74" t="str">
        <f t="shared" si="74"/>
        <v/>
      </c>
      <c r="X74" s="62" t="str">
        <f t="shared" si="62"/>
        <v/>
      </c>
      <c r="Y74" s="70" t="str">
        <f t="shared" si="63"/>
        <v/>
      </c>
      <c r="Z74" s="69"/>
      <c r="AA74" s="62" t="str">
        <f t="shared" si="64"/>
        <v/>
      </c>
      <c r="AB74" s="70" t="str">
        <f t="shared" si="65"/>
        <v/>
      </c>
      <c r="AC74" s="69"/>
      <c r="AD74" s="62" t="str">
        <f t="shared" si="66"/>
        <v/>
      </c>
      <c r="AE74" s="70" t="str">
        <f t="shared" si="67"/>
        <v/>
      </c>
      <c r="AF74" s="69"/>
      <c r="AG74" s="62" t="str">
        <f t="shared" si="68"/>
        <v/>
      </c>
      <c r="AH74" s="70" t="str">
        <f t="shared" si="69"/>
        <v/>
      </c>
      <c r="AI74" s="74" t="str">
        <f t="shared" si="75"/>
        <v/>
      </c>
      <c r="AJ74" s="62" t="str">
        <f t="shared" si="76"/>
        <v/>
      </c>
      <c r="AK74" s="70" t="str">
        <f t="shared" si="70"/>
        <v/>
      </c>
      <c r="AL74" s="69"/>
      <c r="AM74" s="62" t="str">
        <f t="shared" si="71"/>
        <v/>
      </c>
      <c r="AN74" s="70" t="str">
        <f t="shared" si="72"/>
        <v/>
      </c>
    </row>
    <row r="75" spans="1:40" ht="18" customHeight="1" thickBot="1">
      <c r="A75" s="78" t="s">
        <v>0</v>
      </c>
      <c r="B75" s="71">
        <f>SUM(B51:B74)</f>
        <v>0</v>
      </c>
      <c r="C75" s="72">
        <f>SUM(C51:C74)</f>
        <v>0</v>
      </c>
      <c r="D75" s="73">
        <f t="shared" ref="D75" si="80">IF(C75=0,0,B75/C75)</f>
        <v>0</v>
      </c>
      <c r="E75" s="71">
        <f>SUM(E51:E74)</f>
        <v>0</v>
      </c>
      <c r="F75" s="72">
        <f>SUM(F51:F74)</f>
        <v>0</v>
      </c>
      <c r="G75" s="73">
        <f t="shared" ref="G75" si="81">IF(F75=0,0,E75/F75)</f>
        <v>0</v>
      </c>
      <c r="H75" s="71">
        <f>SUM(H51:H74)</f>
        <v>0</v>
      </c>
      <c r="I75" s="72">
        <f>SUM(I51:I74)</f>
        <v>0</v>
      </c>
      <c r="J75" s="73">
        <f t="shared" ref="J75" si="82">IF(I75=0,0,H75/I75)</f>
        <v>0</v>
      </c>
      <c r="K75" s="71">
        <f>SUM(K51:K74)</f>
        <v>0</v>
      </c>
      <c r="L75" s="72">
        <f>SUM(L51:L74)</f>
        <v>0</v>
      </c>
      <c r="M75" s="73">
        <f t="shared" ref="M75" si="83">IF(L75=0,0,K75/L75)</f>
        <v>0</v>
      </c>
      <c r="N75" s="71">
        <f>SUM(N51:N74)</f>
        <v>0</v>
      </c>
      <c r="O75" s="72">
        <f>SUM(O51:O74)</f>
        <v>0</v>
      </c>
      <c r="P75" s="73">
        <f t="shared" ref="P75" si="84">IF(O75=0,0,N75/O75)</f>
        <v>0</v>
      </c>
      <c r="Q75" s="71">
        <f>SUM(Q51:Q74)</f>
        <v>0</v>
      </c>
      <c r="R75" s="72">
        <f>SUM(R51:R74)</f>
        <v>0</v>
      </c>
      <c r="S75" s="73">
        <f t="shared" ref="S75" si="85">IF(R75=0,0,Q75/R75)</f>
        <v>0</v>
      </c>
      <c r="T75" s="71">
        <f>SUM(T51:T74)</f>
        <v>0</v>
      </c>
      <c r="U75" s="72">
        <f>SUM(U51:U74)</f>
        <v>0</v>
      </c>
      <c r="V75" s="73">
        <f t="shared" ref="V75" si="86">IF(U75=0,0,T75/U75)</f>
        <v>0</v>
      </c>
      <c r="W75" s="71">
        <f>SUM(W51:W74)</f>
        <v>0</v>
      </c>
      <c r="X75" s="72">
        <f>SUM(X51:X74)</f>
        <v>0</v>
      </c>
      <c r="Y75" s="73">
        <f t="shared" ref="Y75" si="87">IF(X75=0,0,W75/X75)</f>
        <v>0</v>
      </c>
      <c r="Z75" s="71">
        <f>SUM(Z51:Z74)</f>
        <v>0</v>
      </c>
      <c r="AA75" s="72">
        <f>SUM(AA51:AA74)</f>
        <v>0</v>
      </c>
      <c r="AB75" s="73">
        <f t="shared" ref="AB75" si="88">IF(AA75=0,0,Z75/AA75)</f>
        <v>0</v>
      </c>
      <c r="AC75" s="71">
        <f>SUM(AC51:AC74)</f>
        <v>0</v>
      </c>
      <c r="AD75" s="72">
        <f>SUM(AD51:AD74)</f>
        <v>0</v>
      </c>
      <c r="AE75" s="73">
        <f t="shared" ref="AE75" si="89">IF(AD75=0,0,AC75/AD75)</f>
        <v>0</v>
      </c>
      <c r="AF75" s="71">
        <f>SUM(AF51:AF74)</f>
        <v>0</v>
      </c>
      <c r="AG75" s="72">
        <f>SUM(AG51:AG74)</f>
        <v>0</v>
      </c>
      <c r="AH75" s="73">
        <f t="shared" ref="AH75" si="90">IF(AG75=0,0,AF75/AG75)</f>
        <v>0</v>
      </c>
      <c r="AI75" s="71">
        <f>SUM(AI51:AI74)</f>
        <v>0</v>
      </c>
      <c r="AJ75" s="72">
        <f>SUM(AJ51:AJ74)</f>
        <v>0</v>
      </c>
      <c r="AK75" s="73">
        <f t="shared" ref="AK75" si="91">IF(AJ75=0,0,AI75/AJ75)</f>
        <v>0</v>
      </c>
      <c r="AL75" s="71">
        <f>SUM(AL51:AL74)</f>
        <v>0</v>
      </c>
      <c r="AM75" s="72">
        <f>SUM(AM51:AM74)</f>
        <v>0</v>
      </c>
      <c r="AN75" s="73">
        <f t="shared" ref="AN75" si="92">IF(AM75=0,0,AL75/AM75)</f>
        <v>0</v>
      </c>
    </row>
  </sheetData>
  <sheetProtection sheet="1" objects="1" scenarios="1"/>
  <conditionalFormatting sqref="C3:C4 F9:F12">
    <cfRule type="expression" dxfId="449" priority="79">
      <formula>C3="Data Not Entered On Set-Up Worksheet"</formula>
    </cfRule>
  </conditionalFormatting>
  <conditionalFormatting sqref="C9">
    <cfRule type="expression" dxfId="448" priority="78">
      <formula>C9="Data Not Entered On Set-Up Worksheet"</formula>
    </cfRule>
  </conditionalFormatting>
  <conditionalFormatting sqref="C12">
    <cfRule type="expression" dxfId="447" priority="77">
      <formula>C12="Data Not Entered On Set-Up Worksheet"</formula>
    </cfRule>
  </conditionalFormatting>
  <conditionalFormatting sqref="B19:B40 B42">
    <cfRule type="expression" dxfId="446" priority="76">
      <formula>AND($A19&lt;&gt;"",B19="")</formula>
    </cfRule>
  </conditionalFormatting>
  <conditionalFormatting sqref="F3">
    <cfRule type="expression" dxfId="445" priority="75">
      <formula>F3="Data Not Entered On Set-Up Worksheet"</formula>
    </cfRule>
  </conditionalFormatting>
  <conditionalFormatting sqref="I3">
    <cfRule type="expression" dxfId="444" priority="73">
      <formula>I3="Data Not Entered On Set-Up Worksheet"</formula>
    </cfRule>
  </conditionalFormatting>
  <conditionalFormatting sqref="I9">
    <cfRule type="expression" dxfId="443" priority="72">
      <formula>I9="Data Not Entered On Set-Up Worksheet"</formula>
    </cfRule>
  </conditionalFormatting>
  <conditionalFormatting sqref="I11:I12">
    <cfRule type="expression" dxfId="442" priority="71">
      <formula>I11="Data Not Entered On Set-Up Worksheet"</formula>
    </cfRule>
  </conditionalFormatting>
  <conditionalFormatting sqref="L3">
    <cfRule type="expression" dxfId="441" priority="70">
      <formula>L3="Data Not Entered On Set-Up Worksheet"</formula>
    </cfRule>
  </conditionalFormatting>
  <conditionalFormatting sqref="L9">
    <cfRule type="expression" dxfId="440" priority="69">
      <formula>L9="Data Not Entered On Set-Up Worksheet"</formula>
    </cfRule>
  </conditionalFormatting>
  <conditionalFormatting sqref="L11:L12">
    <cfRule type="expression" dxfId="439" priority="68">
      <formula>L11="Data Not Entered On Set-Up Worksheet"</formula>
    </cfRule>
  </conditionalFormatting>
  <conditionalFormatting sqref="O3">
    <cfRule type="expression" dxfId="438" priority="67">
      <formula>O3="Data Not Entered On Set-Up Worksheet"</formula>
    </cfRule>
  </conditionalFormatting>
  <conditionalFormatting sqref="O9">
    <cfRule type="expression" dxfId="437" priority="66">
      <formula>O9="Data Not Entered On Set-Up Worksheet"</formula>
    </cfRule>
  </conditionalFormatting>
  <conditionalFormatting sqref="O11:O12">
    <cfRule type="expression" dxfId="436" priority="65">
      <formula>O11="Data Not Entered On Set-Up Worksheet"</formula>
    </cfRule>
  </conditionalFormatting>
  <conditionalFormatting sqref="R3">
    <cfRule type="expression" dxfId="435" priority="64">
      <formula>R3="Data Not Entered On Set-Up Worksheet"</formula>
    </cfRule>
  </conditionalFormatting>
  <conditionalFormatting sqref="R9">
    <cfRule type="expression" dxfId="434" priority="63">
      <formula>R9="Data Not Entered On Set-Up Worksheet"</formula>
    </cfRule>
  </conditionalFormatting>
  <conditionalFormatting sqref="R11:R12">
    <cfRule type="expression" dxfId="433" priority="62">
      <formula>R11="Data Not Entered On Set-Up Worksheet"</formula>
    </cfRule>
  </conditionalFormatting>
  <conditionalFormatting sqref="U3">
    <cfRule type="expression" dxfId="432" priority="61">
      <formula>U3="Data Not Entered On Set-Up Worksheet"</formula>
    </cfRule>
  </conditionalFormatting>
  <conditionalFormatting sqref="U9">
    <cfRule type="expression" dxfId="431" priority="60">
      <formula>U9="Data Not Entered On Set-Up Worksheet"</formula>
    </cfRule>
  </conditionalFormatting>
  <conditionalFormatting sqref="U11:U12">
    <cfRule type="expression" dxfId="430" priority="59">
      <formula>U11="Data Not Entered On Set-Up Worksheet"</formula>
    </cfRule>
  </conditionalFormatting>
  <conditionalFormatting sqref="AM3">
    <cfRule type="expression" dxfId="429" priority="58">
      <formula>AM3="Data Not Entered On Set-Up Worksheet"</formula>
    </cfRule>
  </conditionalFormatting>
  <conditionalFormatting sqref="AM9">
    <cfRule type="expression" dxfId="428" priority="57">
      <formula>AM9="Data Not Entered On Set-Up Worksheet"</formula>
    </cfRule>
  </conditionalFormatting>
  <conditionalFormatting sqref="AM11:AM12">
    <cfRule type="expression" dxfId="427" priority="56">
      <formula>AM11="Data Not Entered On Set-Up Worksheet"</formula>
    </cfRule>
  </conditionalFormatting>
  <conditionalFormatting sqref="E19:E40 E42">
    <cfRule type="expression" dxfId="426" priority="55">
      <formula>AND($A19&lt;&gt;"",E19="")</formula>
    </cfRule>
  </conditionalFormatting>
  <conditionalFormatting sqref="H19:H40 H42">
    <cfRule type="expression" dxfId="425" priority="54">
      <formula>AND($A19&lt;&gt;"",H19="")</formula>
    </cfRule>
  </conditionalFormatting>
  <conditionalFormatting sqref="N19:N40 N42">
    <cfRule type="expression" dxfId="424" priority="53">
      <formula>AND($A19&lt;&gt;"",N19="")</formula>
    </cfRule>
  </conditionalFormatting>
  <conditionalFormatting sqref="Q19:Q40 Q42">
    <cfRule type="expression" dxfId="423" priority="52">
      <formula>AND($A19&lt;&gt;"",Q19="")</formula>
    </cfRule>
  </conditionalFormatting>
  <conditionalFormatting sqref="T19:T40 T42">
    <cfRule type="expression" dxfId="422" priority="51">
      <formula>AND($A19&lt;&gt;"",T19="")</formula>
    </cfRule>
  </conditionalFormatting>
  <conditionalFormatting sqref="C11">
    <cfRule type="expression" dxfId="421" priority="50">
      <formula>C11="Data Not Entered On Set-Up Worksheet"</formula>
    </cfRule>
  </conditionalFormatting>
  <conditionalFormatting sqref="X3">
    <cfRule type="expression" dxfId="420" priority="49">
      <formula>X3="Data Not Entered On Set-Up Worksheet"</formula>
    </cfRule>
  </conditionalFormatting>
  <conditionalFormatting sqref="X9">
    <cfRule type="expression" dxfId="419" priority="48">
      <formula>X9="Data Not Entered On Set-Up Worksheet"</formula>
    </cfRule>
  </conditionalFormatting>
  <conditionalFormatting sqref="X11:X12">
    <cfRule type="expression" dxfId="418" priority="47">
      <formula>X11="Data Not Entered On Set-Up Worksheet"</formula>
    </cfRule>
  </conditionalFormatting>
  <conditionalFormatting sqref="AA3">
    <cfRule type="expression" dxfId="417" priority="46">
      <formula>AA3="Data Not Entered On Set-Up Worksheet"</formula>
    </cfRule>
  </conditionalFormatting>
  <conditionalFormatting sqref="AA9">
    <cfRule type="expression" dxfId="416" priority="45">
      <formula>AA9="Data Not Entered On Set-Up Worksheet"</formula>
    </cfRule>
  </conditionalFormatting>
  <conditionalFormatting sqref="AA11:AA12">
    <cfRule type="expression" dxfId="415" priority="44">
      <formula>AA11="Data Not Entered On Set-Up Worksheet"</formula>
    </cfRule>
  </conditionalFormatting>
  <conditionalFormatting sqref="AD3">
    <cfRule type="expression" dxfId="414" priority="43">
      <formula>AD3="Data Not Entered On Set-Up Worksheet"</formula>
    </cfRule>
  </conditionalFormatting>
  <conditionalFormatting sqref="AD9">
    <cfRule type="expression" dxfId="413" priority="42">
      <formula>AD9="Data Not Entered On Set-Up Worksheet"</formula>
    </cfRule>
  </conditionalFormatting>
  <conditionalFormatting sqref="AD11:AD12">
    <cfRule type="expression" dxfId="412" priority="41">
      <formula>AD11="Data Not Entered On Set-Up Worksheet"</formula>
    </cfRule>
  </conditionalFormatting>
  <conditionalFormatting sqref="AG3">
    <cfRule type="expression" dxfId="411" priority="40">
      <formula>AG3="Data Not Entered On Set-Up Worksheet"</formula>
    </cfRule>
  </conditionalFormatting>
  <conditionalFormatting sqref="AG9">
    <cfRule type="expression" dxfId="410" priority="39">
      <formula>AG9="Data Not Entered On Set-Up Worksheet"</formula>
    </cfRule>
  </conditionalFormatting>
  <conditionalFormatting sqref="AG11:AG12">
    <cfRule type="expression" dxfId="409" priority="38">
      <formula>AG11="Data Not Entered On Set-Up Worksheet"</formula>
    </cfRule>
  </conditionalFormatting>
  <conditionalFormatting sqref="Z19:Z40 Z42">
    <cfRule type="expression" dxfId="408" priority="37">
      <formula>AND($A19&lt;&gt;"",Z19="")</formula>
    </cfRule>
  </conditionalFormatting>
  <conditionalFormatting sqref="AC19:AC40 AC42">
    <cfRule type="expression" dxfId="407" priority="36">
      <formula>AND($A19&lt;&gt;"",AC19="")</formula>
    </cfRule>
  </conditionalFormatting>
  <conditionalFormatting sqref="AF19:AF40 AF42">
    <cfRule type="expression" dxfId="406" priority="35">
      <formula>AND($A19&lt;&gt;"",AF19="")</formula>
    </cfRule>
  </conditionalFormatting>
  <conditionalFormatting sqref="AJ3">
    <cfRule type="expression" dxfId="405" priority="34">
      <formula>AJ3="Data Not Entered On Set-Up Worksheet"</formula>
    </cfRule>
  </conditionalFormatting>
  <conditionalFormatting sqref="AJ9">
    <cfRule type="expression" dxfId="404" priority="33">
      <formula>AJ9="Data Not Entered On Set-Up Worksheet"</formula>
    </cfRule>
  </conditionalFormatting>
  <conditionalFormatting sqref="AJ11:AJ12">
    <cfRule type="expression" dxfId="403" priority="32">
      <formula>AJ11="Data Not Entered On Set-Up Worksheet"</formula>
    </cfRule>
  </conditionalFormatting>
  <conditionalFormatting sqref="B51:B72 B74">
    <cfRule type="expression" dxfId="402" priority="31">
      <formula>AND($A51&lt;&gt;"",B51="")</formula>
    </cfRule>
  </conditionalFormatting>
  <conditionalFormatting sqref="E51:E72 E74">
    <cfRule type="expression" dxfId="401" priority="30">
      <formula>AND($A51&lt;&gt;"",E51="")</formula>
    </cfRule>
  </conditionalFormatting>
  <conditionalFormatting sqref="H51:H72 H74">
    <cfRule type="expression" dxfId="400" priority="29">
      <formula>AND($A51&lt;&gt;"",H51="")</formula>
    </cfRule>
  </conditionalFormatting>
  <conditionalFormatting sqref="N51:N72 N74">
    <cfRule type="expression" dxfId="399" priority="28">
      <formula>AND($A51&lt;&gt;"",N51="")</formula>
    </cfRule>
  </conditionalFormatting>
  <conditionalFormatting sqref="Q51:Q72 Q74">
    <cfRule type="expression" dxfId="398" priority="27">
      <formula>AND($A51&lt;&gt;"",Q51="")</formula>
    </cfRule>
  </conditionalFormatting>
  <conditionalFormatting sqref="T51:T72 T74">
    <cfRule type="expression" dxfId="397" priority="26">
      <formula>AND($A51&lt;&gt;"",T51="")</formula>
    </cfRule>
  </conditionalFormatting>
  <conditionalFormatting sqref="Z51:Z72 Z74">
    <cfRule type="expression" dxfId="396" priority="25">
      <formula>AND($A51&lt;&gt;"",Z51="")</formula>
    </cfRule>
  </conditionalFormatting>
  <conditionalFormatting sqref="AC51:AC72 AC74">
    <cfRule type="expression" dxfId="395" priority="24">
      <formula>AND($A51&lt;&gt;"",AC51="")</formula>
    </cfRule>
  </conditionalFormatting>
  <conditionalFormatting sqref="AF51:AF72 AF74">
    <cfRule type="expression" dxfId="394" priority="23">
      <formula>AND($A51&lt;&gt;"",AF51="")</formula>
    </cfRule>
  </conditionalFormatting>
  <conditionalFormatting sqref="AL19:AL40 AL42">
    <cfRule type="expression" dxfId="393" priority="22">
      <formula>AND($A19&lt;&gt;"",AL19="")</formula>
    </cfRule>
  </conditionalFormatting>
  <conditionalFormatting sqref="AL51:AL72 AL74">
    <cfRule type="expression" dxfId="392" priority="21">
      <formula>AND($A51&lt;&gt;"",AL51="")</formula>
    </cfRule>
  </conditionalFormatting>
  <conditionalFormatting sqref="B41">
    <cfRule type="expression" dxfId="391" priority="20">
      <formula>AND($A41&lt;&gt;"",B41="")</formula>
    </cfRule>
  </conditionalFormatting>
  <conditionalFormatting sqref="E41">
    <cfRule type="expression" dxfId="390" priority="19">
      <formula>AND($A41&lt;&gt;"",E41="")</formula>
    </cfRule>
  </conditionalFormatting>
  <conditionalFormatting sqref="H41">
    <cfRule type="expression" dxfId="389" priority="18">
      <formula>AND($A41&lt;&gt;"",H41="")</formula>
    </cfRule>
  </conditionalFormatting>
  <conditionalFormatting sqref="N41">
    <cfRule type="expression" dxfId="388" priority="17">
      <formula>AND($A41&lt;&gt;"",N41="")</formula>
    </cfRule>
  </conditionalFormatting>
  <conditionalFormatting sqref="Q41">
    <cfRule type="expression" dxfId="387" priority="16">
      <formula>AND($A41&lt;&gt;"",Q41="")</formula>
    </cfRule>
  </conditionalFormatting>
  <conditionalFormatting sqref="T41">
    <cfRule type="expression" dxfId="386" priority="15">
      <formula>AND($A41&lt;&gt;"",T41="")</formula>
    </cfRule>
  </conditionalFormatting>
  <conditionalFormatting sqref="Z41">
    <cfRule type="expression" dxfId="385" priority="14">
      <formula>AND($A41&lt;&gt;"",Z41="")</formula>
    </cfRule>
  </conditionalFormatting>
  <conditionalFormatting sqref="AC41">
    <cfRule type="expression" dxfId="384" priority="13">
      <formula>AND($A41&lt;&gt;"",AC41="")</formula>
    </cfRule>
  </conditionalFormatting>
  <conditionalFormatting sqref="AF41">
    <cfRule type="expression" dxfId="383" priority="12">
      <formula>AND($A41&lt;&gt;"",AF41="")</formula>
    </cfRule>
  </conditionalFormatting>
  <conditionalFormatting sqref="AL41">
    <cfRule type="expression" dxfId="382" priority="11">
      <formula>AND($A41&lt;&gt;"",AL41="")</formula>
    </cfRule>
  </conditionalFormatting>
  <conditionalFormatting sqref="B73">
    <cfRule type="expression" dxfId="381" priority="10">
      <formula>AND($A73&lt;&gt;"",B73="")</formula>
    </cfRule>
  </conditionalFormatting>
  <conditionalFormatting sqref="E73">
    <cfRule type="expression" dxfId="380" priority="9">
      <formula>AND($A73&lt;&gt;"",E73="")</formula>
    </cfRule>
  </conditionalFormatting>
  <conditionalFormatting sqref="H73">
    <cfRule type="expression" dxfId="379" priority="8">
      <formula>AND($A73&lt;&gt;"",H73="")</formula>
    </cfRule>
  </conditionalFormatting>
  <conditionalFormatting sqref="N73">
    <cfRule type="expression" dxfId="378" priority="7">
      <formula>AND($A73&lt;&gt;"",N73="")</formula>
    </cfRule>
  </conditionalFormatting>
  <conditionalFormatting sqref="Q73">
    <cfRule type="expression" dxfId="377" priority="6">
      <formula>AND($A73&lt;&gt;"",Q73="")</formula>
    </cfRule>
  </conditionalFormatting>
  <conditionalFormatting sqref="T73">
    <cfRule type="expression" dxfId="376" priority="5">
      <formula>AND($A73&lt;&gt;"",T73="")</formula>
    </cfRule>
  </conditionalFormatting>
  <conditionalFormatting sqref="Z73">
    <cfRule type="expression" dxfId="375" priority="4">
      <formula>AND($A73&lt;&gt;"",Z73="")</formula>
    </cfRule>
  </conditionalFormatting>
  <conditionalFormatting sqref="AC73">
    <cfRule type="expression" dxfId="374" priority="3">
      <formula>AND($A73&lt;&gt;"",AC73="")</formula>
    </cfRule>
  </conditionalFormatting>
  <conditionalFormatting sqref="AF73">
    <cfRule type="expression" dxfId="373" priority="2">
      <formula>AND($A73&lt;&gt;"",AF73="")</formula>
    </cfRule>
  </conditionalFormatting>
  <conditionalFormatting sqref="AL73">
    <cfRule type="expression" dxfId="372" priority="1">
      <formula>AND($A73&lt;&gt;"",AL73="")</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44" max="16383" man="1"/>
  </rowBreaks>
  <colBreaks count="1" manualBreakCount="1">
    <brk id="13"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W24"/>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140625" style="22" customWidth="1"/>
    <col min="2" max="4" width="16.7109375" style="22" customWidth="1"/>
    <col min="5" max="5" width="18.7109375" style="22" customWidth="1"/>
    <col min="6" max="6" width="19.7109375" style="22" customWidth="1"/>
    <col min="7" max="7" width="16.7109375" style="22" customWidth="1"/>
    <col min="8" max="8" width="18.7109375" style="22" customWidth="1"/>
    <col min="9" max="11" width="16.7109375" style="22" customWidth="1"/>
    <col min="12" max="12" width="18.7109375" style="22" customWidth="1"/>
    <col min="13" max="13" width="19.7109375" style="22" customWidth="1"/>
    <col min="14" max="14" width="16.7109375" style="22" customWidth="1"/>
    <col min="15" max="15" width="18.7109375" style="22" customWidth="1"/>
    <col min="16" max="18" width="16.7109375" style="22" customWidth="1"/>
    <col min="19" max="19" width="18.7109375" style="22" customWidth="1"/>
    <col min="20" max="20" width="19.7109375" style="22" customWidth="1"/>
    <col min="21" max="21" width="16.7109375" style="22" customWidth="1"/>
    <col min="22" max="22" width="18.7109375" style="22" customWidth="1"/>
    <col min="23" max="23" width="9.42578125" style="22" customWidth="1"/>
    <col min="24" max="16384" width="9.140625" style="22"/>
  </cols>
  <sheetData>
    <row r="1" spans="1:23" ht="15" customHeight="1">
      <c r="A1" s="36" t="s">
        <v>28</v>
      </c>
      <c r="I1" s="36" t="s">
        <v>332</v>
      </c>
      <c r="P1" s="36" t="s">
        <v>332</v>
      </c>
    </row>
    <row r="2" spans="1:23" ht="15" customHeight="1">
      <c r="A2" s="36" t="s">
        <v>198</v>
      </c>
      <c r="I2" s="358" t="s">
        <v>333</v>
      </c>
      <c r="P2" s="358" t="s">
        <v>333</v>
      </c>
    </row>
    <row r="3" spans="1:23" ht="15" customHeight="1">
      <c r="A3" s="30" t="s">
        <v>196</v>
      </c>
      <c r="C3" s="147">
        <f>IF('Set-Up Worksheet'!F3="","Data Not Entered On Set-Up Worksheet",'Set-Up Worksheet'!F3)</f>
        <v>2017</v>
      </c>
      <c r="D3" s="147"/>
      <c r="E3" s="38"/>
      <c r="F3" s="38"/>
      <c r="J3" s="147">
        <f t="shared" ref="J3:J4" si="0">C3</f>
        <v>2017</v>
      </c>
      <c r="K3" s="147"/>
      <c r="L3" s="38"/>
      <c r="M3" s="38"/>
      <c r="Q3" s="147">
        <f t="shared" ref="Q3:Q4" si="1">C3</f>
        <v>2017</v>
      </c>
      <c r="R3" s="147"/>
      <c r="S3" s="38"/>
      <c r="T3" s="38"/>
    </row>
    <row r="4" spans="1:23" ht="15" customHeight="1">
      <c r="A4" s="30" t="s">
        <v>197</v>
      </c>
      <c r="C4" s="147" t="str">
        <f>IF('Set-Up Worksheet'!F4="","Data Not Entered On Set-Up Worksheet",'Set-Up Worksheet'!F4)</f>
        <v>1st Quarter</v>
      </c>
      <c r="D4" s="147"/>
      <c r="E4" s="38"/>
      <c r="F4" s="32"/>
      <c r="J4" s="147" t="str">
        <f t="shared" si="0"/>
        <v>1st Quarter</v>
      </c>
      <c r="K4" s="147"/>
      <c r="L4" s="38"/>
      <c r="M4" s="32"/>
      <c r="Q4" s="147" t="str">
        <f t="shared" si="1"/>
        <v>1st Quarter</v>
      </c>
      <c r="R4" s="147"/>
      <c r="S4" s="38"/>
      <c r="T4" s="32"/>
    </row>
    <row r="5" spans="1:23" ht="15" customHeight="1">
      <c r="A5" s="30"/>
      <c r="C5" s="32"/>
      <c r="D5" s="32"/>
      <c r="E5" s="32"/>
      <c r="F5" s="32"/>
      <c r="J5" s="32"/>
      <c r="K5" s="32"/>
      <c r="L5" s="32"/>
      <c r="M5" s="32"/>
      <c r="Q5" s="32"/>
      <c r="R5" s="32"/>
      <c r="S5" s="32"/>
      <c r="T5" s="32"/>
    </row>
    <row r="6" spans="1:23" ht="15" customHeight="1">
      <c r="A6" s="30" t="s">
        <v>312</v>
      </c>
      <c r="C6" s="32"/>
      <c r="D6" s="32"/>
      <c r="E6" s="32"/>
      <c r="F6" s="32"/>
      <c r="I6" s="30" t="s">
        <v>334</v>
      </c>
      <c r="J6" s="32"/>
      <c r="K6" s="32"/>
      <c r="L6" s="32"/>
      <c r="M6" s="32"/>
      <c r="P6" s="30" t="s">
        <v>334</v>
      </c>
      <c r="Q6" s="32"/>
      <c r="R6" s="32"/>
      <c r="S6" s="32"/>
      <c r="T6" s="32"/>
    </row>
    <row r="7" spans="1:23" ht="15" customHeight="1">
      <c r="A7" s="30" t="s">
        <v>328</v>
      </c>
      <c r="C7" s="32"/>
      <c r="D7" s="32"/>
      <c r="E7" s="32"/>
      <c r="F7" s="32"/>
      <c r="I7" s="30" t="s">
        <v>422</v>
      </c>
      <c r="J7" s="32"/>
      <c r="K7" s="32"/>
      <c r="L7" s="32"/>
      <c r="M7" s="32"/>
      <c r="P7" s="30" t="s">
        <v>422</v>
      </c>
      <c r="Q7" s="32"/>
      <c r="R7" s="32"/>
      <c r="S7" s="32"/>
      <c r="T7" s="32"/>
    </row>
    <row r="8" spans="1:23" ht="15" customHeight="1">
      <c r="A8" s="30"/>
      <c r="C8" s="32"/>
      <c r="D8" s="32"/>
      <c r="E8" s="32"/>
      <c r="F8" s="32"/>
      <c r="J8" s="32"/>
      <c r="K8" s="32"/>
      <c r="L8" s="32"/>
      <c r="M8" s="32"/>
      <c r="Q8" s="32"/>
      <c r="R8" s="32"/>
      <c r="S8" s="32"/>
      <c r="T8" s="32"/>
    </row>
    <row r="9" spans="1:23" ht="15" customHeight="1">
      <c r="A9" s="30" t="s">
        <v>29</v>
      </c>
      <c r="C9" s="39" t="str">
        <f>IF('Set-Up Worksheet'!E7="","Data Not Entered On Set-Up Worksheet",'Set-Up Worksheet'!E7)</f>
        <v>Data Not Entered On Set-Up Worksheet</v>
      </c>
      <c r="D9" s="39"/>
      <c r="E9" s="39"/>
      <c r="F9" s="80"/>
      <c r="J9" s="39" t="str">
        <f t="shared" ref="J9:J11" si="2">C9</f>
        <v>Data Not Entered On Set-Up Worksheet</v>
      </c>
      <c r="K9" s="39"/>
      <c r="L9" s="39"/>
      <c r="M9" s="80"/>
      <c r="Q9" s="39" t="str">
        <f t="shared" ref="Q9:Q11" si="3">C9</f>
        <v>Data Not Entered On Set-Up Worksheet</v>
      </c>
      <c r="R9" s="39"/>
      <c r="S9" s="39"/>
      <c r="T9" s="80"/>
    </row>
    <row r="10" spans="1:23" ht="15" customHeight="1">
      <c r="A10" s="30" t="s">
        <v>9</v>
      </c>
      <c r="C10" s="32" t="s">
        <v>10</v>
      </c>
      <c r="D10" s="32"/>
      <c r="E10" s="32"/>
      <c r="F10" s="32"/>
      <c r="J10" s="39" t="str">
        <f t="shared" si="2"/>
        <v>Behavioral Health</v>
      </c>
      <c r="K10" s="32"/>
      <c r="L10" s="32"/>
      <c r="M10" s="32"/>
      <c r="Q10" s="39" t="str">
        <f t="shared" si="3"/>
        <v>Behavioral Health</v>
      </c>
      <c r="R10" s="32"/>
      <c r="S10" s="32"/>
      <c r="T10" s="32"/>
    </row>
    <row r="11" spans="1:23" ht="15" customHeight="1">
      <c r="A11" s="30" t="s">
        <v>199</v>
      </c>
      <c r="C11" s="40" t="str">
        <f>IF(C4="Data Not Entered On Set-Up Worksheet","Data Not Entered On Set-Up Worksheet",IF(C4="1st Quarter",'Report Schedule'!D22,IF(C4="2nd Quarter",'Report Schedule'!E22,IF(C4="3rd Quarter",'Report Schedule'!F22,IF(C4="4th Quarter",'Report Schedule'!G22,"")))))</f>
        <v>Apr - Jun 2016</v>
      </c>
      <c r="D11" s="40"/>
      <c r="E11" s="313" t="str">
        <f>IF(COUNTA(B17:F19)&lt;&gt;15,"Enter data in yellow shaded cells","")</f>
        <v>Enter data in yellow shaded cells</v>
      </c>
      <c r="F11" s="40"/>
      <c r="J11" s="40" t="str">
        <f t="shared" si="2"/>
        <v>Apr - Jun 2016</v>
      </c>
      <c r="K11" s="40"/>
      <c r="L11" s="313" t="str">
        <f>IF(COUNTA(I17:M19)&lt;&gt;15,"Enter data in yellow shaded cells","")</f>
        <v>Enter data in yellow shaded cells</v>
      </c>
      <c r="M11" s="40"/>
      <c r="Q11" s="40" t="str">
        <f t="shared" si="3"/>
        <v>Apr - Jun 2016</v>
      </c>
      <c r="R11" s="40"/>
      <c r="S11" s="313" t="str">
        <f>IF(COUNTA(P17:T19)&lt;&gt;15,"Enter data in yellow shaded cells","")</f>
        <v>Enter data in yellow shaded cells</v>
      </c>
      <c r="T11" s="40"/>
    </row>
    <row r="12" spans="1:23" ht="15" customHeight="1">
      <c r="A12" s="30"/>
      <c r="C12" s="40"/>
      <c r="D12" s="40"/>
      <c r="E12" s="40"/>
      <c r="F12" s="40"/>
      <c r="J12" s="40"/>
      <c r="K12" s="40"/>
      <c r="L12" s="40"/>
      <c r="M12" s="40"/>
      <c r="Q12" s="40"/>
      <c r="R12" s="40"/>
      <c r="S12" s="40"/>
      <c r="T12" s="40"/>
    </row>
    <row r="13" spans="1:23" ht="15" customHeight="1" thickBot="1">
      <c r="A13" s="30"/>
      <c r="C13" s="40"/>
      <c r="D13" s="40"/>
      <c r="E13" s="40"/>
      <c r="F13" s="40"/>
      <c r="J13" s="40"/>
      <c r="K13" s="40"/>
      <c r="L13" s="40"/>
      <c r="M13" s="40"/>
      <c r="Q13" s="40"/>
      <c r="R13" s="40"/>
      <c r="S13" s="40"/>
      <c r="T13" s="40"/>
    </row>
    <row r="14" spans="1:23" ht="18" customHeight="1" thickBot="1">
      <c r="A14" s="368" t="s">
        <v>330</v>
      </c>
      <c r="B14" s="382" t="s">
        <v>39</v>
      </c>
      <c r="C14" s="366"/>
      <c r="D14" s="366"/>
      <c r="E14" s="366"/>
      <c r="F14" s="366"/>
      <c r="G14" s="366"/>
      <c r="H14" s="367"/>
      <c r="I14" s="383" t="s">
        <v>244</v>
      </c>
      <c r="J14" s="375"/>
      <c r="K14" s="375"/>
      <c r="L14" s="375"/>
      <c r="M14" s="375"/>
      <c r="N14" s="375"/>
      <c r="O14" s="376"/>
      <c r="P14" s="384" t="s">
        <v>246</v>
      </c>
      <c r="Q14" s="366"/>
      <c r="R14" s="366"/>
      <c r="S14" s="366"/>
      <c r="T14" s="366"/>
      <c r="U14" s="366"/>
      <c r="V14" s="367"/>
    </row>
    <row r="15" spans="1:23" ht="13.5" thickBot="1">
      <c r="B15" s="45" t="s">
        <v>323</v>
      </c>
      <c r="C15" s="45"/>
      <c r="D15" s="45"/>
      <c r="E15" s="45" t="s">
        <v>324</v>
      </c>
      <c r="F15" s="45" t="s">
        <v>4</v>
      </c>
      <c r="G15" s="225" t="s">
        <v>325</v>
      </c>
      <c r="H15" s="225" t="s">
        <v>326</v>
      </c>
      <c r="I15" s="45" t="s">
        <v>323</v>
      </c>
      <c r="J15" s="45"/>
      <c r="K15" s="45"/>
      <c r="L15" s="45" t="s">
        <v>324</v>
      </c>
      <c r="M15" s="45" t="s">
        <v>4</v>
      </c>
      <c r="N15" s="225" t="s">
        <v>325</v>
      </c>
      <c r="O15" s="225" t="s">
        <v>326</v>
      </c>
      <c r="P15" s="45" t="s">
        <v>323</v>
      </c>
      <c r="Q15" s="45"/>
      <c r="R15" s="45"/>
      <c r="S15" s="45" t="s">
        <v>324</v>
      </c>
      <c r="T15" s="45" t="s">
        <v>4</v>
      </c>
      <c r="U15" s="225" t="s">
        <v>325</v>
      </c>
      <c r="V15" s="225" t="s">
        <v>326</v>
      </c>
      <c r="W15" s="37"/>
    </row>
    <row r="16" spans="1:23" ht="69.95" customHeight="1">
      <c r="A16" s="371" t="s">
        <v>38</v>
      </c>
      <c r="B16" s="369" t="s">
        <v>319</v>
      </c>
      <c r="C16" s="351" t="s">
        <v>313</v>
      </c>
      <c r="D16" s="351" t="s">
        <v>315</v>
      </c>
      <c r="E16" s="351" t="s">
        <v>320</v>
      </c>
      <c r="F16" s="351" t="s">
        <v>314</v>
      </c>
      <c r="G16" s="362" t="s">
        <v>317</v>
      </c>
      <c r="H16" s="352" t="s">
        <v>316</v>
      </c>
      <c r="I16" s="377" t="s">
        <v>319</v>
      </c>
      <c r="J16" s="345" t="s">
        <v>313</v>
      </c>
      <c r="K16" s="345" t="s">
        <v>315</v>
      </c>
      <c r="L16" s="345" t="s">
        <v>320</v>
      </c>
      <c r="M16" s="345" t="s">
        <v>314</v>
      </c>
      <c r="N16" s="378" t="s">
        <v>317</v>
      </c>
      <c r="O16" s="346" t="s">
        <v>316</v>
      </c>
      <c r="P16" s="381" t="s">
        <v>319</v>
      </c>
      <c r="Q16" s="351" t="s">
        <v>313</v>
      </c>
      <c r="R16" s="351" t="s">
        <v>315</v>
      </c>
      <c r="S16" s="351" t="s">
        <v>320</v>
      </c>
      <c r="T16" s="351" t="s">
        <v>314</v>
      </c>
      <c r="U16" s="362" t="s">
        <v>317</v>
      </c>
      <c r="V16" s="352" t="s">
        <v>316</v>
      </c>
    </row>
    <row r="17" spans="1:23" ht="36" customHeight="1">
      <c r="A17" s="372" t="s">
        <v>6</v>
      </c>
      <c r="B17" s="360"/>
      <c r="C17" s="42"/>
      <c r="D17" s="42"/>
      <c r="E17" s="42"/>
      <c r="F17" s="42"/>
      <c r="G17" s="43">
        <f t="shared" ref="G17:G21" si="4">IF($F17=0,0,B17/$F17)</f>
        <v>0</v>
      </c>
      <c r="H17" s="347">
        <f t="shared" ref="H17:H21" si="5">IF($F17=0,0,E17/$F17)</f>
        <v>0</v>
      </c>
      <c r="I17" s="52"/>
      <c r="J17" s="42"/>
      <c r="K17" s="42"/>
      <c r="L17" s="42"/>
      <c r="M17" s="42"/>
      <c r="N17" s="43">
        <f>IF($M17=0,0,I17/$M17)</f>
        <v>0</v>
      </c>
      <c r="O17" s="347">
        <f>IF($M17=0,0,L17/$M17)</f>
        <v>0</v>
      </c>
      <c r="P17" s="52"/>
      <c r="Q17" s="42"/>
      <c r="R17" s="42"/>
      <c r="S17" s="42"/>
      <c r="T17" s="42"/>
      <c r="U17" s="43">
        <f>IF($T17=0,0,P17/$T17)</f>
        <v>0</v>
      </c>
      <c r="V17" s="347">
        <f>IF($T17=0,0,S17/$T17)</f>
        <v>0</v>
      </c>
    </row>
    <row r="18" spans="1:23" ht="36" customHeight="1">
      <c r="A18" s="372" t="s">
        <v>7</v>
      </c>
      <c r="B18" s="360"/>
      <c r="C18" s="42"/>
      <c r="D18" s="42"/>
      <c r="E18" s="42"/>
      <c r="F18" s="42"/>
      <c r="G18" s="43">
        <f t="shared" si="4"/>
        <v>0</v>
      </c>
      <c r="H18" s="347">
        <f t="shared" si="5"/>
        <v>0</v>
      </c>
      <c r="I18" s="52"/>
      <c r="J18" s="42"/>
      <c r="K18" s="42"/>
      <c r="L18" s="42"/>
      <c r="M18" s="42"/>
      <c r="N18" s="43">
        <f>IF($M18=0,0,I18/$M18)</f>
        <v>0</v>
      </c>
      <c r="O18" s="347">
        <f>IF($M18=0,0,L18/$M18)</f>
        <v>0</v>
      </c>
      <c r="P18" s="52"/>
      <c r="Q18" s="42"/>
      <c r="R18" s="42"/>
      <c r="S18" s="42"/>
      <c r="T18" s="42"/>
      <c r="U18" s="43">
        <f>IF($T18=0,0,P18/$T18)</f>
        <v>0</v>
      </c>
      <c r="V18" s="347">
        <f>IF($T18=0,0,S18/$T18)</f>
        <v>0</v>
      </c>
      <c r="W18" s="41"/>
    </row>
    <row r="19" spans="1:23" ht="36" customHeight="1">
      <c r="A19" s="373" t="s">
        <v>318</v>
      </c>
      <c r="B19" s="360"/>
      <c r="C19" s="42"/>
      <c r="D19" s="42"/>
      <c r="E19" s="42"/>
      <c r="F19" s="42"/>
      <c r="G19" s="43">
        <f t="shared" ref="G19" si="6">IF($F19=0,0,B19/$F19)</f>
        <v>0</v>
      </c>
      <c r="H19" s="347">
        <f t="shared" ref="H19" si="7">IF($F19=0,0,E19/$F19)</f>
        <v>0</v>
      </c>
      <c r="I19" s="52"/>
      <c r="J19" s="42"/>
      <c r="K19" s="42"/>
      <c r="L19" s="42"/>
      <c r="M19" s="42"/>
      <c r="N19" s="43">
        <f>IF($M19=0,0,I19/$M19)</f>
        <v>0</v>
      </c>
      <c r="O19" s="347">
        <f>IF($M19=0,0,L19/$M19)</f>
        <v>0</v>
      </c>
      <c r="P19" s="52"/>
      <c r="Q19" s="42"/>
      <c r="R19" s="42"/>
      <c r="S19" s="42"/>
      <c r="T19" s="42"/>
      <c r="U19" s="43">
        <f>IF($T19=0,0,P19/$T19)</f>
        <v>0</v>
      </c>
      <c r="V19" s="347">
        <f>IF($T19=0,0,S19/$T19)</f>
        <v>0</v>
      </c>
    </row>
    <row r="20" spans="1:23" ht="36" customHeight="1">
      <c r="A20" s="373" t="s">
        <v>321</v>
      </c>
      <c r="B20" s="361">
        <f>SUM(B18:B19)</f>
        <v>0</v>
      </c>
      <c r="C20" s="46">
        <f t="shared" ref="C20:F20" si="8">SUM(C18:C19)</f>
        <v>0</v>
      </c>
      <c r="D20" s="46">
        <f t="shared" si="8"/>
        <v>0</v>
      </c>
      <c r="E20" s="46">
        <f t="shared" si="8"/>
        <v>0</v>
      </c>
      <c r="F20" s="46">
        <f t="shared" si="8"/>
        <v>0</v>
      </c>
      <c r="G20" s="43">
        <f t="shared" si="4"/>
        <v>0</v>
      </c>
      <c r="H20" s="347">
        <f t="shared" si="5"/>
        <v>0</v>
      </c>
      <c r="I20" s="379">
        <f>SUM(I18:I19)</f>
        <v>0</v>
      </c>
      <c r="J20" s="46">
        <f t="shared" ref="J20:M20" si="9">SUM(J18:J19)</f>
        <v>0</v>
      </c>
      <c r="K20" s="46">
        <f t="shared" si="9"/>
        <v>0</v>
      </c>
      <c r="L20" s="46">
        <f t="shared" si="9"/>
        <v>0</v>
      </c>
      <c r="M20" s="46">
        <f t="shared" si="9"/>
        <v>0</v>
      </c>
      <c r="N20" s="43">
        <f>IF($M20=0,0,I20/$M20)</f>
        <v>0</v>
      </c>
      <c r="O20" s="347">
        <f>IF($M20=0,0,L20/$M20)</f>
        <v>0</v>
      </c>
      <c r="P20" s="379">
        <f>SUM(P18:P19)</f>
        <v>0</v>
      </c>
      <c r="Q20" s="46">
        <f t="shared" ref="Q20:T20" si="10">SUM(Q18:Q19)</f>
        <v>0</v>
      </c>
      <c r="R20" s="46">
        <f t="shared" si="10"/>
        <v>0</v>
      </c>
      <c r="S20" s="46">
        <f t="shared" si="10"/>
        <v>0</v>
      </c>
      <c r="T20" s="46">
        <f t="shared" si="10"/>
        <v>0</v>
      </c>
      <c r="U20" s="43">
        <f>IF($T20=0,0,P20/$T20)</f>
        <v>0</v>
      </c>
      <c r="V20" s="347">
        <f>IF($T20=0,0,S20/$T20)</f>
        <v>0</v>
      </c>
    </row>
    <row r="21" spans="1:23" ht="36" customHeight="1" thickBot="1">
      <c r="A21" s="374" t="s">
        <v>37</v>
      </c>
      <c r="B21" s="370">
        <f>SUM(B17:B19)</f>
        <v>0</v>
      </c>
      <c r="C21" s="363">
        <f>SUM(C17:C19)</f>
        <v>0</v>
      </c>
      <c r="D21" s="363">
        <f>SUM(D17:D19)</f>
        <v>0</v>
      </c>
      <c r="E21" s="363">
        <f>SUM(E17:E19)</f>
        <v>0</v>
      </c>
      <c r="F21" s="363">
        <f>SUM(F17:F19)</f>
        <v>0</v>
      </c>
      <c r="G21" s="364">
        <f t="shared" si="4"/>
        <v>0</v>
      </c>
      <c r="H21" s="365">
        <f t="shared" si="5"/>
        <v>0</v>
      </c>
      <c r="I21" s="380">
        <f>SUM(I17:I19)</f>
        <v>0</v>
      </c>
      <c r="J21" s="363">
        <f>SUM(J17:J19)</f>
        <v>0</v>
      </c>
      <c r="K21" s="363">
        <f>SUM(K17:K19)</f>
        <v>0</v>
      </c>
      <c r="L21" s="363">
        <f>SUM(L17:L19)</f>
        <v>0</v>
      </c>
      <c r="M21" s="363">
        <f>SUM(M17:M19)</f>
        <v>0</v>
      </c>
      <c r="N21" s="364">
        <f>IF($M21=0,0,I21/$M21)</f>
        <v>0</v>
      </c>
      <c r="O21" s="365">
        <f>IF($M21=0,0,L21/$M21)</f>
        <v>0</v>
      </c>
      <c r="P21" s="380">
        <f>SUM(P17:P19)</f>
        <v>0</v>
      </c>
      <c r="Q21" s="363">
        <f>SUM(Q17:Q19)</f>
        <v>0</v>
      </c>
      <c r="R21" s="363">
        <f>SUM(R17:R19)</f>
        <v>0</v>
      </c>
      <c r="S21" s="363">
        <f>SUM(S17:S19)</f>
        <v>0</v>
      </c>
      <c r="T21" s="363">
        <f>SUM(T17:T19)</f>
        <v>0</v>
      </c>
      <c r="U21" s="364">
        <f>IF($T21=0,0,P21/$T21)</f>
        <v>0</v>
      </c>
      <c r="V21" s="365">
        <f>IF($T21=0,0,S21/$T21)</f>
        <v>0</v>
      </c>
    </row>
    <row r="22" spans="1:23">
      <c r="C22" s="44"/>
      <c r="D22" s="44"/>
      <c r="E22" s="44"/>
      <c r="F22" s="44"/>
      <c r="J22" s="44"/>
      <c r="K22" s="44"/>
      <c r="L22" s="44"/>
      <c r="M22" s="44"/>
      <c r="Q22" s="44"/>
      <c r="R22" s="44"/>
      <c r="S22" s="44"/>
      <c r="T22" s="44"/>
    </row>
    <row r="24" spans="1:23" s="60" customFormat="1">
      <c r="B24" s="60" t="s">
        <v>471</v>
      </c>
      <c r="I24" s="60" t="s">
        <v>472</v>
      </c>
      <c r="P24" s="60" t="s">
        <v>473</v>
      </c>
    </row>
  </sheetData>
  <sheetProtection sheet="1" objects="1" scenarios="1"/>
  <phoneticPr fontId="11" type="noConversion"/>
  <conditionalFormatting sqref="C3:F3 C9:E9 C12:F13 C4:E4 F11">
    <cfRule type="expression" dxfId="371" priority="21">
      <formula>C3="Data Not Entered On Set-Up Worksheet"</formula>
    </cfRule>
  </conditionalFormatting>
  <conditionalFormatting sqref="B17:F19">
    <cfRule type="cellIs" dxfId="370" priority="18" operator="equal">
      <formula>""</formula>
    </cfRule>
  </conditionalFormatting>
  <conditionalFormatting sqref="C11:D11">
    <cfRule type="expression" dxfId="369" priority="17">
      <formula>C11="Data Not Entered On Set-Up Worksheet"</formula>
    </cfRule>
  </conditionalFormatting>
  <conditionalFormatting sqref="J3:M3 J9:L9 J12:M13 J4:L4 M11">
    <cfRule type="expression" dxfId="368" priority="10">
      <formula>J3="Data Not Entered On Set-Up Worksheet"</formula>
    </cfRule>
  </conditionalFormatting>
  <conditionalFormatting sqref="I17:M19">
    <cfRule type="cellIs" dxfId="367" priority="9" operator="equal">
      <formula>""</formula>
    </cfRule>
  </conditionalFormatting>
  <conditionalFormatting sqref="J11:K11">
    <cfRule type="expression" dxfId="366" priority="8">
      <formula>J11="Data Not Entered On Set-Up Worksheet"</formula>
    </cfRule>
  </conditionalFormatting>
  <conditionalFormatting sqref="Q3:T3 Q9:S9 Q12:T13 Q4:S4 T11">
    <cfRule type="expression" dxfId="365" priority="5">
      <formula>Q3="Data Not Entered On Set-Up Worksheet"</formula>
    </cfRule>
  </conditionalFormatting>
  <conditionalFormatting sqref="P17:T19">
    <cfRule type="cellIs" dxfId="364" priority="4" operator="equal">
      <formula>""</formula>
    </cfRule>
  </conditionalFormatting>
  <conditionalFormatting sqref="Q11:R11">
    <cfRule type="expression" dxfId="363" priority="3">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H4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cols>
    <col min="1" max="1" width="22.42578125" style="22" customWidth="1"/>
    <col min="2" max="6" width="18.7109375" style="22" customWidth="1"/>
    <col min="7" max="7" width="16.7109375" style="22" customWidth="1"/>
    <col min="8" max="13" width="18.7109375" style="22" customWidth="1"/>
    <col min="14" max="14" width="16.7109375" style="22" customWidth="1"/>
    <col min="15" max="20" width="18.7109375" style="22" customWidth="1"/>
    <col min="21" max="21" width="16.7109375" style="22" customWidth="1"/>
    <col min="22" max="22" width="18.7109375" style="22" customWidth="1"/>
    <col min="23" max="23" width="8.85546875" style="22" bestFit="1" customWidth="1"/>
    <col min="24" max="16384" width="9.140625" style="22"/>
  </cols>
  <sheetData>
    <row r="1" spans="1:34" ht="15" customHeight="1">
      <c r="A1" s="36" t="s">
        <v>28</v>
      </c>
      <c r="I1" s="30" t="s">
        <v>332</v>
      </c>
      <c r="P1" s="30" t="s">
        <v>332</v>
      </c>
    </row>
    <row r="2" spans="1:34" ht="15" customHeight="1">
      <c r="A2" s="36" t="s">
        <v>198</v>
      </c>
      <c r="I2" s="321" t="s">
        <v>333</v>
      </c>
      <c r="P2" s="321" t="s">
        <v>333</v>
      </c>
    </row>
    <row r="3" spans="1:34" ht="15" customHeight="1">
      <c r="A3" s="30" t="s">
        <v>196</v>
      </c>
      <c r="C3" s="147">
        <f>IF('Set-Up Worksheet'!F3="","Data Not Entered On Set-Up Worksheet",'Set-Up Worksheet'!F3)</f>
        <v>2017</v>
      </c>
      <c r="G3" s="147"/>
      <c r="J3" s="147">
        <f t="shared" ref="J3:J11" si="0">C3</f>
        <v>2017</v>
      </c>
      <c r="N3" s="147"/>
      <c r="Q3" s="147">
        <f t="shared" ref="Q3:Q11" si="1">C3</f>
        <v>2017</v>
      </c>
      <c r="U3" s="147"/>
    </row>
    <row r="4" spans="1:34" ht="15" customHeight="1">
      <c r="A4" s="30" t="s">
        <v>197</v>
      </c>
      <c r="C4" s="147" t="str">
        <f>IF('Set-Up Worksheet'!F4="","Data Not Entered On Set-Up Worksheet",'Set-Up Worksheet'!F4)</f>
        <v>1st Quarter</v>
      </c>
      <c r="G4" s="147"/>
      <c r="J4" s="147" t="str">
        <f t="shared" si="0"/>
        <v>1st Quarter</v>
      </c>
      <c r="N4" s="147"/>
      <c r="Q4" s="147" t="str">
        <f t="shared" si="1"/>
        <v>1st Quarter</v>
      </c>
      <c r="U4" s="147"/>
    </row>
    <row r="5" spans="1:34" ht="15" customHeight="1">
      <c r="A5" s="30"/>
      <c r="C5" s="32"/>
      <c r="G5" s="32"/>
      <c r="J5" s="39"/>
      <c r="N5" s="32"/>
      <c r="Q5" s="39"/>
      <c r="U5" s="32"/>
    </row>
    <row r="6" spans="1:34" ht="15" customHeight="1">
      <c r="A6" s="30" t="s">
        <v>312</v>
      </c>
      <c r="C6" s="32"/>
      <c r="G6" s="32"/>
      <c r="I6" s="30" t="s">
        <v>334</v>
      </c>
      <c r="J6" s="39"/>
      <c r="N6" s="32"/>
      <c r="P6" s="30" t="s">
        <v>334</v>
      </c>
      <c r="Q6" s="39"/>
      <c r="U6" s="32"/>
    </row>
    <row r="7" spans="1:34" ht="15" customHeight="1">
      <c r="A7" s="30" t="s">
        <v>329</v>
      </c>
      <c r="C7" s="32"/>
      <c r="G7" s="32"/>
      <c r="I7" s="30" t="s">
        <v>335</v>
      </c>
      <c r="J7" s="39"/>
      <c r="N7" s="32"/>
      <c r="P7" s="30" t="s">
        <v>335</v>
      </c>
      <c r="Q7" s="39"/>
      <c r="U7" s="32"/>
    </row>
    <row r="8" spans="1:34" ht="15" customHeight="1">
      <c r="A8" s="30"/>
      <c r="C8" s="32"/>
      <c r="G8" s="32"/>
      <c r="J8" s="39"/>
      <c r="N8" s="32"/>
      <c r="Q8" s="39"/>
      <c r="U8" s="32"/>
      <c r="Z8" s="54"/>
      <c r="AA8" s="54"/>
      <c r="AB8" s="55"/>
      <c r="AC8" s="54"/>
      <c r="AD8" s="54"/>
      <c r="AE8" s="54"/>
      <c r="AF8" s="54"/>
      <c r="AG8" s="30"/>
      <c r="AH8" s="35"/>
    </row>
    <row r="9" spans="1:34" ht="15" customHeight="1">
      <c r="A9" s="30" t="s">
        <v>29</v>
      </c>
      <c r="C9" s="39" t="str">
        <f>IF('Set-Up Worksheet'!E7="","Data Not Entered On Set-Up Worksheet",'Set-Up Worksheet'!E7)</f>
        <v>Data Not Entered On Set-Up Worksheet</v>
      </c>
      <c r="G9" s="39"/>
      <c r="J9" s="39" t="str">
        <f t="shared" si="0"/>
        <v>Data Not Entered On Set-Up Worksheet</v>
      </c>
      <c r="N9" s="39"/>
      <c r="Q9" s="39" t="str">
        <f t="shared" si="1"/>
        <v>Data Not Entered On Set-Up Worksheet</v>
      </c>
      <c r="U9" s="39"/>
    </row>
    <row r="10" spans="1:34" ht="15" customHeight="1">
      <c r="A10" s="30" t="s">
        <v>9</v>
      </c>
      <c r="C10" s="32" t="s">
        <v>10</v>
      </c>
      <c r="G10" s="32"/>
      <c r="J10" s="39" t="str">
        <f t="shared" si="0"/>
        <v>Behavioral Health</v>
      </c>
      <c r="N10" s="32"/>
      <c r="Q10" s="39" t="str">
        <f t="shared" si="1"/>
        <v>Behavioral Health</v>
      </c>
      <c r="U10" s="32"/>
    </row>
    <row r="11" spans="1:34" ht="15" customHeight="1">
      <c r="A11" s="30" t="s">
        <v>199</v>
      </c>
      <c r="C11" s="40" t="str">
        <f>IF(C4="Data Not Entered On Set-Up Worksheet","Data Not Entered On Set-Up Worksheet",IF(C4="1st Quarter",'Report Schedule'!D22,IF(C4="2nd Quarter",'Report Schedule'!E22,IF(C4="3rd Quarter",'Report Schedule'!F22,IF(C4="4th Quarter",'Report Schedule'!G22,"")))))</f>
        <v>Apr - Jun 2016</v>
      </c>
      <c r="E11" s="79" t="s">
        <v>40</v>
      </c>
      <c r="G11" s="40"/>
      <c r="J11" s="40" t="str">
        <f t="shared" si="0"/>
        <v>Apr - Jun 2016</v>
      </c>
      <c r="L11" s="79"/>
      <c r="N11" s="40"/>
      <c r="Q11" s="40" t="str">
        <f t="shared" si="1"/>
        <v>Apr - Jun 2016</v>
      </c>
      <c r="S11" s="79"/>
      <c r="U11" s="40"/>
    </row>
    <row r="12" spans="1:34" ht="15" customHeight="1">
      <c r="A12" s="30"/>
      <c r="E12" s="79"/>
      <c r="F12" s="40"/>
      <c r="G12" s="40"/>
      <c r="M12" s="40"/>
      <c r="N12" s="40"/>
      <c r="T12" s="40"/>
      <c r="U12" s="40"/>
    </row>
    <row r="13" spans="1:34" ht="13.5" thickBot="1"/>
    <row r="14" spans="1:34" ht="18" customHeight="1" thickBot="1">
      <c r="A14" s="226" t="s">
        <v>330</v>
      </c>
      <c r="B14" s="382" t="s">
        <v>39</v>
      </c>
      <c r="C14" s="315"/>
      <c r="D14" s="315"/>
      <c r="E14" s="315"/>
      <c r="F14" s="235"/>
      <c r="G14" s="235"/>
      <c r="H14" s="236"/>
      <c r="I14" s="385" t="s">
        <v>244</v>
      </c>
      <c r="J14" s="82"/>
      <c r="K14" s="82"/>
      <c r="L14" s="82"/>
      <c r="M14" s="231"/>
      <c r="N14" s="231"/>
      <c r="O14" s="232"/>
      <c r="P14" s="382" t="s">
        <v>246</v>
      </c>
      <c r="Q14" s="315"/>
      <c r="R14" s="315"/>
      <c r="S14" s="315"/>
      <c r="T14" s="235"/>
      <c r="U14" s="235"/>
      <c r="V14" s="236"/>
    </row>
    <row r="15" spans="1:34" s="35" customFormat="1" ht="13.5" thickBot="1">
      <c r="A15" s="30"/>
      <c r="B15" s="45" t="s">
        <v>323</v>
      </c>
      <c r="C15" s="45"/>
      <c r="D15" s="45"/>
      <c r="E15" s="45" t="s">
        <v>324</v>
      </c>
      <c r="F15" s="57" t="s">
        <v>4</v>
      </c>
      <c r="G15" s="57" t="s">
        <v>325</v>
      </c>
      <c r="H15" s="58" t="s">
        <v>326</v>
      </c>
      <c r="I15" s="45" t="s">
        <v>323</v>
      </c>
      <c r="J15" s="45"/>
      <c r="K15" s="45"/>
      <c r="L15" s="45" t="s">
        <v>324</v>
      </c>
      <c r="M15" s="57" t="s">
        <v>4</v>
      </c>
      <c r="N15" s="57" t="s">
        <v>325</v>
      </c>
      <c r="O15" s="58" t="s">
        <v>326</v>
      </c>
      <c r="P15" s="45" t="s">
        <v>323</v>
      </c>
      <c r="Q15" s="45"/>
      <c r="R15" s="45"/>
      <c r="S15" s="45" t="s">
        <v>324</v>
      </c>
      <c r="T15" s="57" t="s">
        <v>4</v>
      </c>
      <c r="U15" s="57" t="s">
        <v>325</v>
      </c>
      <c r="V15" s="58" t="s">
        <v>326</v>
      </c>
      <c r="W15" s="33"/>
      <c r="X15" s="30"/>
      <c r="Y15" s="30"/>
      <c r="Z15" s="30"/>
      <c r="AA15" s="30"/>
      <c r="AB15" s="30"/>
    </row>
    <row r="16" spans="1:34" ht="63.75">
      <c r="A16" s="75" t="s">
        <v>43</v>
      </c>
      <c r="B16" s="242" t="s">
        <v>319</v>
      </c>
      <c r="C16" s="240" t="s">
        <v>313</v>
      </c>
      <c r="D16" s="240" t="s">
        <v>315</v>
      </c>
      <c r="E16" s="316" t="s">
        <v>320</v>
      </c>
      <c r="F16" s="240" t="s">
        <v>314</v>
      </c>
      <c r="G16" s="314" t="s">
        <v>317</v>
      </c>
      <c r="H16" s="241" t="s">
        <v>316</v>
      </c>
      <c r="I16" s="221" t="s">
        <v>319</v>
      </c>
      <c r="J16" s="67" t="s">
        <v>313</v>
      </c>
      <c r="K16" s="67" t="s">
        <v>315</v>
      </c>
      <c r="L16" s="83" t="s">
        <v>320</v>
      </c>
      <c r="M16" s="67" t="s">
        <v>314</v>
      </c>
      <c r="N16" s="320" t="s">
        <v>317</v>
      </c>
      <c r="O16" s="68" t="s">
        <v>316</v>
      </c>
      <c r="P16" s="242" t="s">
        <v>319</v>
      </c>
      <c r="Q16" s="240" t="s">
        <v>313</v>
      </c>
      <c r="R16" s="240" t="s">
        <v>315</v>
      </c>
      <c r="S16" s="316" t="s">
        <v>320</v>
      </c>
      <c r="T16" s="240" t="s">
        <v>314</v>
      </c>
      <c r="U16" s="314" t="s">
        <v>317</v>
      </c>
      <c r="V16" s="241" t="s">
        <v>316</v>
      </c>
    </row>
    <row r="17" spans="1:22" ht="18" customHeight="1">
      <c r="A17" s="76" t="str">
        <f>IF($C$9="Data Not Entered On Set-Up Worksheet","",IF(OR(VLOOKUP($C$9,County_Lookup,2,FALSE)="",VLOOKUP($C$9,County_Lookup,2,FALSE)=0),"",VLOOKUP($C$9,County_Lookup,2,FALSE)))</f>
        <v/>
      </c>
      <c r="B17" s="222"/>
      <c r="C17" s="224"/>
      <c r="D17" s="224"/>
      <c r="E17" s="222"/>
      <c r="F17" s="61"/>
      <c r="G17" s="318" t="str">
        <f t="shared" ref="G17:G41" si="2">IF($A17="","",IF($F17=0,0,B17/$F17))</f>
        <v/>
      </c>
      <c r="H17" s="70" t="str">
        <f>IF($A17="","",IF($F17=0,0,E17/$F17))</f>
        <v/>
      </c>
      <c r="I17" s="222"/>
      <c r="J17" s="224"/>
      <c r="K17" s="224"/>
      <c r="L17" s="222"/>
      <c r="M17" s="61"/>
      <c r="N17" s="318" t="str">
        <f t="shared" ref="N17:N41" si="3">IF($A17="","",IF($M17=0,0,I17/$M17))</f>
        <v/>
      </c>
      <c r="O17" s="70" t="str">
        <f t="shared" ref="O17:O41" si="4">IF($A17="","",IF($M17=0,0,L17/$M17))</f>
        <v/>
      </c>
      <c r="P17" s="222"/>
      <c r="Q17" s="224"/>
      <c r="R17" s="224"/>
      <c r="S17" s="222"/>
      <c r="T17" s="61"/>
      <c r="U17" s="318" t="str">
        <f t="shared" ref="U17:U41" si="5">IF($A17="","",IF($T17=0,0,P17/$T17))</f>
        <v/>
      </c>
      <c r="V17" s="70" t="str">
        <f t="shared" ref="V17:V41" si="6">IF($A17="","",IF($T17=0,0,S17/$T17))</f>
        <v/>
      </c>
    </row>
    <row r="18" spans="1:22" ht="18" customHeight="1">
      <c r="A18" s="77" t="str">
        <f>IF($C$9="Data Not Entered On Set-Up Worksheet","",IF(OR(VLOOKUP($C$9,County_Lookup,3,FALSE)="",VLOOKUP($C$9,County_Lookup,3,FALSE)=0),"",VLOOKUP($C$9,County_Lookup,3,FALSE)))</f>
        <v/>
      </c>
      <c r="B18" s="222"/>
      <c r="C18" s="224"/>
      <c r="D18" s="224"/>
      <c r="E18" s="222"/>
      <c r="F18" s="61"/>
      <c r="G18" s="318" t="str">
        <f t="shared" si="2"/>
        <v/>
      </c>
      <c r="H18" s="70" t="str">
        <f t="shared" ref="H18:H40" si="7">IF($A18="","",IF($F18=0,0,E18/$F18))</f>
        <v/>
      </c>
      <c r="I18" s="222"/>
      <c r="J18" s="224"/>
      <c r="K18" s="224"/>
      <c r="L18" s="222"/>
      <c r="M18" s="61"/>
      <c r="N18" s="318" t="str">
        <f t="shared" si="3"/>
        <v/>
      </c>
      <c r="O18" s="70" t="str">
        <f t="shared" si="4"/>
        <v/>
      </c>
      <c r="P18" s="222"/>
      <c r="Q18" s="224"/>
      <c r="R18" s="224"/>
      <c r="S18" s="222"/>
      <c r="T18" s="61"/>
      <c r="U18" s="318" t="str">
        <f t="shared" si="5"/>
        <v/>
      </c>
      <c r="V18" s="70" t="str">
        <f t="shared" si="6"/>
        <v/>
      </c>
    </row>
    <row r="19" spans="1:22" ht="18" customHeight="1">
      <c r="A19" s="77" t="str">
        <f>IF($C$9="Data Not Entered On Set-Up Worksheet","",IF(OR(VLOOKUP($C$9,County_Lookup,4,FALSE)="",VLOOKUP($C$9,County_Lookup,4,FALSE)=0),"",VLOOKUP($C$9,County_Lookup,4,FALSE)))</f>
        <v/>
      </c>
      <c r="B19" s="222"/>
      <c r="C19" s="224"/>
      <c r="D19" s="224"/>
      <c r="E19" s="222"/>
      <c r="F19" s="61"/>
      <c r="G19" s="318" t="str">
        <f t="shared" si="2"/>
        <v/>
      </c>
      <c r="H19" s="70" t="str">
        <f t="shared" si="7"/>
        <v/>
      </c>
      <c r="I19" s="222"/>
      <c r="J19" s="224"/>
      <c r="K19" s="224"/>
      <c r="L19" s="222"/>
      <c r="M19" s="61"/>
      <c r="N19" s="318" t="str">
        <f t="shared" si="3"/>
        <v/>
      </c>
      <c r="O19" s="70" t="str">
        <f t="shared" si="4"/>
        <v/>
      </c>
      <c r="P19" s="222"/>
      <c r="Q19" s="224"/>
      <c r="R19" s="224"/>
      <c r="S19" s="222"/>
      <c r="T19" s="61"/>
      <c r="U19" s="318" t="str">
        <f t="shared" si="5"/>
        <v/>
      </c>
      <c r="V19" s="70" t="str">
        <f t="shared" si="6"/>
        <v/>
      </c>
    </row>
    <row r="20" spans="1:22" ht="18" customHeight="1">
      <c r="A20" s="77" t="str">
        <f>IF($C$9="Data Not Entered On Set-Up Worksheet","",IF(OR(VLOOKUP($C$9,County_Lookup,5,FALSE)="",VLOOKUP($C$9,County_Lookup,5,FALSE)=0),"",VLOOKUP($C$9,County_Lookup,5,FALSE)))</f>
        <v/>
      </c>
      <c r="B20" s="222"/>
      <c r="C20" s="224"/>
      <c r="D20" s="224"/>
      <c r="E20" s="222"/>
      <c r="F20" s="61"/>
      <c r="G20" s="318" t="str">
        <f t="shared" si="2"/>
        <v/>
      </c>
      <c r="H20" s="70" t="str">
        <f t="shared" si="7"/>
        <v/>
      </c>
      <c r="I20" s="222"/>
      <c r="J20" s="224"/>
      <c r="K20" s="224"/>
      <c r="L20" s="222"/>
      <c r="M20" s="61"/>
      <c r="N20" s="318" t="str">
        <f t="shared" si="3"/>
        <v/>
      </c>
      <c r="O20" s="70" t="str">
        <f t="shared" si="4"/>
        <v/>
      </c>
      <c r="P20" s="222"/>
      <c r="Q20" s="224"/>
      <c r="R20" s="224"/>
      <c r="S20" s="222"/>
      <c r="T20" s="61"/>
      <c r="U20" s="318" t="str">
        <f t="shared" si="5"/>
        <v/>
      </c>
      <c r="V20" s="70" t="str">
        <f t="shared" si="6"/>
        <v/>
      </c>
    </row>
    <row r="21" spans="1:22" ht="18" customHeight="1">
      <c r="A21" s="77" t="str">
        <f>IF($C$9="Data Not Entered On Set-Up Worksheet","",IF(OR(VLOOKUP($C$9,County_Lookup,6,FALSE)="",VLOOKUP($C$9,County_Lookup,6,FALSE)=0),"",VLOOKUP($C$9,County_Lookup,6,FALSE)))</f>
        <v/>
      </c>
      <c r="B21" s="222"/>
      <c r="C21" s="224"/>
      <c r="D21" s="224"/>
      <c r="E21" s="222"/>
      <c r="F21" s="61"/>
      <c r="G21" s="318" t="str">
        <f t="shared" si="2"/>
        <v/>
      </c>
      <c r="H21" s="70" t="str">
        <f t="shared" si="7"/>
        <v/>
      </c>
      <c r="I21" s="222"/>
      <c r="J21" s="224"/>
      <c r="K21" s="224"/>
      <c r="L21" s="222"/>
      <c r="M21" s="61"/>
      <c r="N21" s="318" t="str">
        <f t="shared" si="3"/>
        <v/>
      </c>
      <c r="O21" s="70" t="str">
        <f t="shared" si="4"/>
        <v/>
      </c>
      <c r="P21" s="222"/>
      <c r="Q21" s="224"/>
      <c r="R21" s="224"/>
      <c r="S21" s="222"/>
      <c r="T21" s="61"/>
      <c r="U21" s="318" t="str">
        <f t="shared" si="5"/>
        <v/>
      </c>
      <c r="V21" s="70" t="str">
        <f t="shared" si="6"/>
        <v/>
      </c>
    </row>
    <row r="22" spans="1:22" ht="18" customHeight="1">
      <c r="A22" s="77" t="str">
        <f>IF($C$9="Data Not Entered On Set-Up Worksheet","",IF(OR(VLOOKUP($C$9,County_Lookup,7,FALSE)="",VLOOKUP($C$9,County_Lookup,7,FALSE)=0),"",VLOOKUP($C$9,County_Lookup,7,FALSE)))</f>
        <v/>
      </c>
      <c r="B22" s="222"/>
      <c r="C22" s="224"/>
      <c r="D22" s="224"/>
      <c r="E22" s="222"/>
      <c r="F22" s="61"/>
      <c r="G22" s="318" t="str">
        <f t="shared" si="2"/>
        <v/>
      </c>
      <c r="H22" s="70" t="str">
        <f t="shared" si="7"/>
        <v/>
      </c>
      <c r="I22" s="222"/>
      <c r="J22" s="224"/>
      <c r="K22" s="224"/>
      <c r="L22" s="222"/>
      <c r="M22" s="61"/>
      <c r="N22" s="318" t="str">
        <f t="shared" si="3"/>
        <v/>
      </c>
      <c r="O22" s="70" t="str">
        <f t="shared" si="4"/>
        <v/>
      </c>
      <c r="P22" s="222"/>
      <c r="Q22" s="224"/>
      <c r="R22" s="224"/>
      <c r="S22" s="222"/>
      <c r="T22" s="61"/>
      <c r="U22" s="318" t="str">
        <f t="shared" si="5"/>
        <v/>
      </c>
      <c r="V22" s="70" t="str">
        <f t="shared" si="6"/>
        <v/>
      </c>
    </row>
    <row r="23" spans="1:22" ht="18" customHeight="1">
      <c r="A23" s="76" t="str">
        <f>IF($C$9="Data Not Entered On Set-Up Worksheet","",IF(OR(VLOOKUP($C$9,County_Lookup,8,FALSE)="",VLOOKUP($C$9,County_Lookup,8,FALSE)=0),"",VLOOKUP($C$9,County_Lookup,8,FALSE)))</f>
        <v/>
      </c>
      <c r="B23" s="222"/>
      <c r="C23" s="224"/>
      <c r="D23" s="224"/>
      <c r="E23" s="222"/>
      <c r="F23" s="61"/>
      <c r="G23" s="318" t="str">
        <f t="shared" si="2"/>
        <v/>
      </c>
      <c r="H23" s="70" t="str">
        <f t="shared" si="7"/>
        <v/>
      </c>
      <c r="I23" s="222"/>
      <c r="J23" s="224"/>
      <c r="K23" s="224"/>
      <c r="L23" s="222"/>
      <c r="M23" s="61"/>
      <c r="N23" s="318" t="str">
        <f t="shared" si="3"/>
        <v/>
      </c>
      <c r="O23" s="70" t="str">
        <f t="shared" si="4"/>
        <v/>
      </c>
      <c r="P23" s="222"/>
      <c r="Q23" s="224"/>
      <c r="R23" s="224"/>
      <c r="S23" s="222"/>
      <c r="T23" s="61"/>
      <c r="U23" s="318" t="str">
        <f t="shared" si="5"/>
        <v/>
      </c>
      <c r="V23" s="70" t="str">
        <f t="shared" si="6"/>
        <v/>
      </c>
    </row>
    <row r="24" spans="1:22" ht="18" customHeight="1">
      <c r="A24" s="77" t="str">
        <f>IF($C$9="Data Not Entered On Set-Up Worksheet","",IF(OR(VLOOKUP($C$9,County_Lookup,9,FALSE)="",VLOOKUP($C$9,County_Lookup,9,FALSE)=0),"",VLOOKUP($C$9,County_Lookup,9,FALSE)))</f>
        <v/>
      </c>
      <c r="B24" s="222"/>
      <c r="C24" s="224"/>
      <c r="D24" s="224"/>
      <c r="E24" s="222"/>
      <c r="F24" s="61"/>
      <c r="G24" s="318" t="str">
        <f t="shared" si="2"/>
        <v/>
      </c>
      <c r="H24" s="70" t="str">
        <f t="shared" si="7"/>
        <v/>
      </c>
      <c r="I24" s="222"/>
      <c r="J24" s="224"/>
      <c r="K24" s="224"/>
      <c r="L24" s="222"/>
      <c r="M24" s="61"/>
      <c r="N24" s="318" t="str">
        <f t="shared" si="3"/>
        <v/>
      </c>
      <c r="O24" s="70" t="str">
        <f t="shared" si="4"/>
        <v/>
      </c>
      <c r="P24" s="222"/>
      <c r="Q24" s="224"/>
      <c r="R24" s="224"/>
      <c r="S24" s="222"/>
      <c r="T24" s="61"/>
      <c r="U24" s="318" t="str">
        <f t="shared" si="5"/>
        <v/>
      </c>
      <c r="V24" s="70" t="str">
        <f t="shared" si="6"/>
        <v/>
      </c>
    </row>
    <row r="25" spans="1:22" ht="18" customHeight="1">
      <c r="A25" s="77" t="str">
        <f>IF($C$9="Data Not Entered On Set-Up Worksheet","",IF(OR(VLOOKUP($C$9,County_Lookup,10,FALSE)="",VLOOKUP($C$9,County_Lookup,10,FALSE)=0),"",VLOOKUP($C$9,County_Lookup,10,FALSE)))</f>
        <v/>
      </c>
      <c r="B25" s="222"/>
      <c r="C25" s="224"/>
      <c r="D25" s="224"/>
      <c r="E25" s="222"/>
      <c r="F25" s="61"/>
      <c r="G25" s="318" t="str">
        <f t="shared" si="2"/>
        <v/>
      </c>
      <c r="H25" s="70" t="str">
        <f t="shared" si="7"/>
        <v/>
      </c>
      <c r="I25" s="222"/>
      <c r="J25" s="224"/>
      <c r="K25" s="224"/>
      <c r="L25" s="222"/>
      <c r="M25" s="61"/>
      <c r="N25" s="318" t="str">
        <f t="shared" si="3"/>
        <v/>
      </c>
      <c r="O25" s="70" t="str">
        <f t="shared" si="4"/>
        <v/>
      </c>
      <c r="P25" s="222"/>
      <c r="Q25" s="224"/>
      <c r="R25" s="224"/>
      <c r="S25" s="222"/>
      <c r="T25" s="61"/>
      <c r="U25" s="318" t="str">
        <f t="shared" si="5"/>
        <v/>
      </c>
      <c r="V25" s="70" t="str">
        <f t="shared" si="6"/>
        <v/>
      </c>
    </row>
    <row r="26" spans="1:22" ht="18" customHeight="1">
      <c r="A26" s="77" t="str">
        <f>IF($C$9="Data Not Entered On Set-Up Worksheet","",IF(OR(VLOOKUP($C$9,County_Lookup,11,FALSE)="",VLOOKUP($C$9,County_Lookup,11,FALSE)=0),"",VLOOKUP($C$9,County_Lookup,11,FALSE)))</f>
        <v/>
      </c>
      <c r="B26" s="222"/>
      <c r="C26" s="224"/>
      <c r="D26" s="224"/>
      <c r="E26" s="222"/>
      <c r="F26" s="61"/>
      <c r="G26" s="318" t="str">
        <f t="shared" si="2"/>
        <v/>
      </c>
      <c r="H26" s="70" t="str">
        <f t="shared" si="7"/>
        <v/>
      </c>
      <c r="I26" s="222"/>
      <c r="J26" s="224"/>
      <c r="K26" s="224"/>
      <c r="L26" s="222"/>
      <c r="M26" s="61"/>
      <c r="N26" s="318" t="str">
        <f t="shared" si="3"/>
        <v/>
      </c>
      <c r="O26" s="70" t="str">
        <f t="shared" si="4"/>
        <v/>
      </c>
      <c r="P26" s="222"/>
      <c r="Q26" s="224"/>
      <c r="R26" s="224"/>
      <c r="S26" s="222"/>
      <c r="T26" s="61"/>
      <c r="U26" s="318" t="str">
        <f t="shared" si="5"/>
        <v/>
      </c>
      <c r="V26" s="70" t="str">
        <f t="shared" si="6"/>
        <v/>
      </c>
    </row>
    <row r="27" spans="1:22" ht="18" customHeight="1">
      <c r="A27" s="77" t="str">
        <f>IF($C$9="Data Not Entered On Set-Up Worksheet","",IF(OR(VLOOKUP($C$9,County_Lookup,12,FALSE)="",VLOOKUP($C$9,County_Lookup,12,FALSE)=0),"",VLOOKUP($C$9,County_Lookup,12,FALSE)))</f>
        <v/>
      </c>
      <c r="B27" s="222"/>
      <c r="C27" s="224"/>
      <c r="D27" s="224"/>
      <c r="E27" s="222"/>
      <c r="F27" s="61"/>
      <c r="G27" s="318" t="str">
        <f t="shared" si="2"/>
        <v/>
      </c>
      <c r="H27" s="70" t="str">
        <f t="shared" si="7"/>
        <v/>
      </c>
      <c r="I27" s="222"/>
      <c r="J27" s="224"/>
      <c r="K27" s="224"/>
      <c r="L27" s="222"/>
      <c r="M27" s="61"/>
      <c r="N27" s="318" t="str">
        <f t="shared" si="3"/>
        <v/>
      </c>
      <c r="O27" s="70" t="str">
        <f t="shared" si="4"/>
        <v/>
      </c>
      <c r="P27" s="222"/>
      <c r="Q27" s="224"/>
      <c r="R27" s="224"/>
      <c r="S27" s="222"/>
      <c r="T27" s="61"/>
      <c r="U27" s="318" t="str">
        <f t="shared" si="5"/>
        <v/>
      </c>
      <c r="V27" s="70" t="str">
        <f t="shared" si="6"/>
        <v/>
      </c>
    </row>
    <row r="28" spans="1:22" ht="18" customHeight="1">
      <c r="A28" s="77" t="str">
        <f>IF($C$9="Data Not Entered On Set-Up Worksheet","",IF(OR(VLOOKUP($C$9,County_Lookup,13,FALSE)="",VLOOKUP($C$9,County_Lookup,13,FALSE)=0),"",VLOOKUP($C$9,County_Lookup,13,FALSE)))</f>
        <v/>
      </c>
      <c r="B28" s="222"/>
      <c r="C28" s="224"/>
      <c r="D28" s="224"/>
      <c r="E28" s="222"/>
      <c r="F28" s="61"/>
      <c r="G28" s="318" t="str">
        <f t="shared" si="2"/>
        <v/>
      </c>
      <c r="H28" s="70" t="str">
        <f t="shared" si="7"/>
        <v/>
      </c>
      <c r="I28" s="222"/>
      <c r="J28" s="224"/>
      <c r="K28" s="224"/>
      <c r="L28" s="222"/>
      <c r="M28" s="61"/>
      <c r="N28" s="318" t="str">
        <f t="shared" si="3"/>
        <v/>
      </c>
      <c r="O28" s="70" t="str">
        <f t="shared" si="4"/>
        <v/>
      </c>
      <c r="P28" s="222"/>
      <c r="Q28" s="224"/>
      <c r="R28" s="224"/>
      <c r="S28" s="222"/>
      <c r="T28" s="61"/>
      <c r="U28" s="318" t="str">
        <f t="shared" si="5"/>
        <v/>
      </c>
      <c r="V28" s="70" t="str">
        <f t="shared" si="6"/>
        <v/>
      </c>
    </row>
    <row r="29" spans="1:22" ht="18" customHeight="1">
      <c r="A29" s="77" t="str">
        <f>IF($C$9="Data Not Entered On Set-Up Worksheet","",IF(OR(VLOOKUP($C$9,County_Lookup,14,FALSE)="",VLOOKUP($C$9,County_Lookup,14,FALSE)=0),"",VLOOKUP($C$9,County_Lookup,14,FALSE)))</f>
        <v/>
      </c>
      <c r="B29" s="222"/>
      <c r="C29" s="224"/>
      <c r="D29" s="224"/>
      <c r="E29" s="222"/>
      <c r="F29" s="61"/>
      <c r="G29" s="318" t="str">
        <f t="shared" si="2"/>
        <v/>
      </c>
      <c r="H29" s="70" t="str">
        <f t="shared" si="7"/>
        <v/>
      </c>
      <c r="I29" s="222"/>
      <c r="J29" s="224"/>
      <c r="K29" s="224"/>
      <c r="L29" s="222"/>
      <c r="M29" s="61"/>
      <c r="N29" s="318" t="str">
        <f t="shared" si="3"/>
        <v/>
      </c>
      <c r="O29" s="70" t="str">
        <f t="shared" si="4"/>
        <v/>
      </c>
      <c r="P29" s="222"/>
      <c r="Q29" s="224"/>
      <c r="R29" s="224"/>
      <c r="S29" s="222"/>
      <c r="T29" s="61"/>
      <c r="U29" s="318" t="str">
        <f t="shared" si="5"/>
        <v/>
      </c>
      <c r="V29" s="70" t="str">
        <f t="shared" si="6"/>
        <v/>
      </c>
    </row>
    <row r="30" spans="1:22" ht="18" customHeight="1">
      <c r="A30" s="76" t="str">
        <f>IF($C$9="Data Not Entered On Set-Up Worksheet","",IF(OR(VLOOKUP($C$9,County_Lookup,15,FALSE)="",VLOOKUP($C$9,County_Lookup,15,FALSE)=0),"",VLOOKUP($C$9,County_Lookup,15,FALSE)))</f>
        <v/>
      </c>
      <c r="B30" s="222"/>
      <c r="C30" s="224"/>
      <c r="D30" s="224"/>
      <c r="E30" s="222"/>
      <c r="F30" s="61"/>
      <c r="G30" s="318" t="str">
        <f t="shared" si="2"/>
        <v/>
      </c>
      <c r="H30" s="70" t="str">
        <f t="shared" si="7"/>
        <v/>
      </c>
      <c r="I30" s="222"/>
      <c r="J30" s="224"/>
      <c r="K30" s="224"/>
      <c r="L30" s="222"/>
      <c r="M30" s="61"/>
      <c r="N30" s="318" t="str">
        <f t="shared" si="3"/>
        <v/>
      </c>
      <c r="O30" s="70" t="str">
        <f t="shared" si="4"/>
        <v/>
      </c>
      <c r="P30" s="222"/>
      <c r="Q30" s="224"/>
      <c r="R30" s="224"/>
      <c r="S30" s="222"/>
      <c r="T30" s="61"/>
      <c r="U30" s="318" t="str">
        <f t="shared" si="5"/>
        <v/>
      </c>
      <c r="V30" s="70" t="str">
        <f t="shared" si="6"/>
        <v/>
      </c>
    </row>
    <row r="31" spans="1:22" ht="18" customHeight="1">
      <c r="A31" s="77" t="str">
        <f>IF($C$9="Data Not Entered On Set-Up Worksheet","",IF(OR(VLOOKUP($C$9,County_Lookup,16,FALSE)="",VLOOKUP($C$9,County_Lookup,16,FALSE)=0),"",VLOOKUP($C$9,County_Lookup,16,FALSE)))</f>
        <v/>
      </c>
      <c r="B31" s="222"/>
      <c r="C31" s="224"/>
      <c r="D31" s="224"/>
      <c r="E31" s="222"/>
      <c r="F31" s="61"/>
      <c r="G31" s="318" t="str">
        <f t="shared" si="2"/>
        <v/>
      </c>
      <c r="H31" s="70" t="str">
        <f t="shared" si="7"/>
        <v/>
      </c>
      <c r="I31" s="222"/>
      <c r="J31" s="224"/>
      <c r="K31" s="224"/>
      <c r="L31" s="222"/>
      <c r="M31" s="61"/>
      <c r="N31" s="318" t="str">
        <f t="shared" si="3"/>
        <v/>
      </c>
      <c r="O31" s="70" t="str">
        <f t="shared" si="4"/>
        <v/>
      </c>
      <c r="P31" s="222"/>
      <c r="Q31" s="224"/>
      <c r="R31" s="224"/>
      <c r="S31" s="222"/>
      <c r="T31" s="61"/>
      <c r="U31" s="318" t="str">
        <f t="shared" si="5"/>
        <v/>
      </c>
      <c r="V31" s="70" t="str">
        <f t="shared" si="6"/>
        <v/>
      </c>
    </row>
    <row r="32" spans="1:22" ht="18" customHeight="1">
      <c r="A32" s="77" t="str">
        <f>IF($C$9="Data Not Entered On Set-Up Worksheet","",IF(OR(VLOOKUP($C$9,County_Lookup,17,FALSE)="",VLOOKUP($C$9,County_Lookup,17,FALSE)=0),"",VLOOKUP($C$9,County_Lookup,17,FALSE)))</f>
        <v/>
      </c>
      <c r="B32" s="222"/>
      <c r="C32" s="224"/>
      <c r="D32" s="224"/>
      <c r="E32" s="222"/>
      <c r="F32" s="61"/>
      <c r="G32" s="318" t="str">
        <f t="shared" si="2"/>
        <v/>
      </c>
      <c r="H32" s="70" t="str">
        <f t="shared" si="7"/>
        <v/>
      </c>
      <c r="I32" s="222"/>
      <c r="J32" s="224"/>
      <c r="K32" s="224"/>
      <c r="L32" s="222"/>
      <c r="M32" s="61"/>
      <c r="N32" s="318" t="str">
        <f t="shared" si="3"/>
        <v/>
      </c>
      <c r="O32" s="70" t="str">
        <f t="shared" si="4"/>
        <v/>
      </c>
      <c r="P32" s="222"/>
      <c r="Q32" s="224"/>
      <c r="R32" s="224"/>
      <c r="S32" s="222"/>
      <c r="T32" s="61"/>
      <c r="U32" s="318" t="str">
        <f t="shared" si="5"/>
        <v/>
      </c>
      <c r="V32" s="70" t="str">
        <f t="shared" si="6"/>
        <v/>
      </c>
    </row>
    <row r="33" spans="1:22" ht="18" customHeight="1">
      <c r="A33" s="77" t="str">
        <f>IF($C$9="Data Not Entered On Set-Up Worksheet","",IF(OR(VLOOKUP($C$9,County_Lookup,18,FALSE)="",VLOOKUP($C$9,County_Lookup,18,FALSE)=0),"",VLOOKUP($C$9,County_Lookup,18,FALSE)))</f>
        <v/>
      </c>
      <c r="B33" s="222"/>
      <c r="C33" s="224"/>
      <c r="D33" s="224"/>
      <c r="E33" s="222"/>
      <c r="F33" s="61"/>
      <c r="G33" s="318" t="str">
        <f t="shared" si="2"/>
        <v/>
      </c>
      <c r="H33" s="70" t="str">
        <f t="shared" si="7"/>
        <v/>
      </c>
      <c r="I33" s="222"/>
      <c r="J33" s="224"/>
      <c r="K33" s="224"/>
      <c r="L33" s="222"/>
      <c r="M33" s="61"/>
      <c r="N33" s="318" t="str">
        <f t="shared" si="3"/>
        <v/>
      </c>
      <c r="O33" s="70" t="str">
        <f t="shared" si="4"/>
        <v/>
      </c>
      <c r="P33" s="222"/>
      <c r="Q33" s="224"/>
      <c r="R33" s="224"/>
      <c r="S33" s="222"/>
      <c r="T33" s="61"/>
      <c r="U33" s="318" t="str">
        <f t="shared" si="5"/>
        <v/>
      </c>
      <c r="V33" s="70" t="str">
        <f t="shared" si="6"/>
        <v/>
      </c>
    </row>
    <row r="34" spans="1:22" ht="18" customHeight="1">
      <c r="A34" s="77" t="str">
        <f>IF($C$9="Data Not Entered On Set-Up Worksheet","",IF(OR(VLOOKUP($C$9,County_Lookup,19,FALSE)="",VLOOKUP($C$9,County_Lookup,19,FALSE)=0),"",VLOOKUP($C$9,County_Lookup,19,FALSE)))</f>
        <v/>
      </c>
      <c r="B34" s="222"/>
      <c r="C34" s="224"/>
      <c r="D34" s="224"/>
      <c r="E34" s="222"/>
      <c r="F34" s="61"/>
      <c r="G34" s="318" t="str">
        <f t="shared" si="2"/>
        <v/>
      </c>
      <c r="H34" s="70" t="str">
        <f t="shared" si="7"/>
        <v/>
      </c>
      <c r="I34" s="222"/>
      <c r="J34" s="224"/>
      <c r="K34" s="224"/>
      <c r="L34" s="222"/>
      <c r="M34" s="61"/>
      <c r="N34" s="318" t="str">
        <f t="shared" si="3"/>
        <v/>
      </c>
      <c r="O34" s="70" t="str">
        <f t="shared" si="4"/>
        <v/>
      </c>
      <c r="P34" s="222"/>
      <c r="Q34" s="224"/>
      <c r="R34" s="224"/>
      <c r="S34" s="222"/>
      <c r="T34" s="61"/>
      <c r="U34" s="318" t="str">
        <f t="shared" si="5"/>
        <v/>
      </c>
      <c r="V34" s="70" t="str">
        <f t="shared" si="6"/>
        <v/>
      </c>
    </row>
    <row r="35" spans="1:22" ht="18" customHeight="1">
      <c r="A35" s="77" t="str">
        <f>IF($C$9="Data Not Entered On Set-Up Worksheet","",IF(OR(VLOOKUP($C$9,County_Lookup,20,FALSE)="",VLOOKUP($C$9,County_Lookup,20,FALSE)=0),"",VLOOKUP($C$9,County_Lookup,20,FALSE)))</f>
        <v/>
      </c>
      <c r="B35" s="222"/>
      <c r="C35" s="224"/>
      <c r="D35" s="224"/>
      <c r="E35" s="222"/>
      <c r="F35" s="61"/>
      <c r="G35" s="318" t="str">
        <f t="shared" si="2"/>
        <v/>
      </c>
      <c r="H35" s="70" t="str">
        <f t="shared" si="7"/>
        <v/>
      </c>
      <c r="I35" s="222"/>
      <c r="J35" s="224"/>
      <c r="K35" s="224"/>
      <c r="L35" s="222"/>
      <c r="M35" s="61"/>
      <c r="N35" s="318" t="str">
        <f t="shared" si="3"/>
        <v/>
      </c>
      <c r="O35" s="70" t="str">
        <f t="shared" si="4"/>
        <v/>
      </c>
      <c r="P35" s="222"/>
      <c r="Q35" s="224"/>
      <c r="R35" s="224"/>
      <c r="S35" s="222"/>
      <c r="T35" s="61"/>
      <c r="U35" s="318" t="str">
        <f t="shared" si="5"/>
        <v/>
      </c>
      <c r="V35" s="70" t="str">
        <f t="shared" si="6"/>
        <v/>
      </c>
    </row>
    <row r="36" spans="1:22" ht="18" customHeight="1">
      <c r="A36" s="77" t="str">
        <f>IF($C$9="Data Not Entered On Set-Up Worksheet","",IF(OR(VLOOKUP($C$9,County_Lookup,21,FALSE)="",VLOOKUP($C$9,County_Lookup,21,FALSE)=0),"",VLOOKUP($C$9,County_Lookup,21,FALSE)))</f>
        <v/>
      </c>
      <c r="B36" s="222"/>
      <c r="C36" s="224"/>
      <c r="D36" s="224"/>
      <c r="E36" s="222"/>
      <c r="F36" s="61"/>
      <c r="G36" s="318" t="str">
        <f t="shared" si="2"/>
        <v/>
      </c>
      <c r="H36" s="70" t="str">
        <f t="shared" si="7"/>
        <v/>
      </c>
      <c r="I36" s="222"/>
      <c r="J36" s="224"/>
      <c r="K36" s="224"/>
      <c r="L36" s="222"/>
      <c r="M36" s="61"/>
      <c r="N36" s="318" t="str">
        <f t="shared" si="3"/>
        <v/>
      </c>
      <c r="O36" s="70" t="str">
        <f t="shared" si="4"/>
        <v/>
      </c>
      <c r="P36" s="222"/>
      <c r="Q36" s="224"/>
      <c r="R36" s="224"/>
      <c r="S36" s="222"/>
      <c r="T36" s="61"/>
      <c r="U36" s="318" t="str">
        <f t="shared" si="5"/>
        <v/>
      </c>
      <c r="V36" s="70" t="str">
        <f t="shared" si="6"/>
        <v/>
      </c>
    </row>
    <row r="37" spans="1:22" ht="18" customHeight="1">
      <c r="A37" s="76" t="str">
        <f>IF($C$9="Data Not Entered On Set-Up Worksheet","",IF(OR(VLOOKUP($C$9,County_Lookup,22,FALSE)="",VLOOKUP($C$9,County_Lookup,22,FALSE)=0),"",VLOOKUP($C$9,County_Lookup,22,FALSE)))</f>
        <v/>
      </c>
      <c r="B37" s="222"/>
      <c r="C37" s="224"/>
      <c r="D37" s="224"/>
      <c r="E37" s="222"/>
      <c r="F37" s="61"/>
      <c r="G37" s="318" t="str">
        <f t="shared" si="2"/>
        <v/>
      </c>
      <c r="H37" s="70" t="str">
        <f t="shared" si="7"/>
        <v/>
      </c>
      <c r="I37" s="222"/>
      <c r="J37" s="224"/>
      <c r="K37" s="224"/>
      <c r="L37" s="222"/>
      <c r="M37" s="61"/>
      <c r="N37" s="318" t="str">
        <f t="shared" si="3"/>
        <v/>
      </c>
      <c r="O37" s="70" t="str">
        <f t="shared" si="4"/>
        <v/>
      </c>
      <c r="P37" s="222"/>
      <c r="Q37" s="224"/>
      <c r="R37" s="224"/>
      <c r="S37" s="222"/>
      <c r="T37" s="61"/>
      <c r="U37" s="318" t="str">
        <f t="shared" si="5"/>
        <v/>
      </c>
      <c r="V37" s="70" t="str">
        <f t="shared" si="6"/>
        <v/>
      </c>
    </row>
    <row r="38" spans="1:22" ht="18" customHeight="1">
      <c r="A38" s="77" t="str">
        <f>IF($C$9="Data Not Entered On Set-Up Worksheet","",IF(OR(VLOOKUP($C$9,County_Lookup,23,FALSE)="",VLOOKUP($C$9,County_Lookup,23,FALSE)=0),"",VLOOKUP($C$9,County_Lookup,23,FALSE)))</f>
        <v/>
      </c>
      <c r="B38" s="222"/>
      <c r="C38" s="224"/>
      <c r="D38" s="224"/>
      <c r="E38" s="222"/>
      <c r="F38" s="61"/>
      <c r="G38" s="318" t="str">
        <f t="shared" si="2"/>
        <v/>
      </c>
      <c r="H38" s="70" t="str">
        <f t="shared" si="7"/>
        <v/>
      </c>
      <c r="I38" s="222"/>
      <c r="J38" s="224"/>
      <c r="K38" s="224"/>
      <c r="L38" s="222"/>
      <c r="M38" s="61"/>
      <c r="N38" s="318" t="str">
        <f t="shared" si="3"/>
        <v/>
      </c>
      <c r="O38" s="70" t="str">
        <f t="shared" si="4"/>
        <v/>
      </c>
      <c r="P38" s="222"/>
      <c r="Q38" s="224"/>
      <c r="R38" s="224"/>
      <c r="S38" s="222"/>
      <c r="T38" s="61"/>
      <c r="U38" s="318" t="str">
        <f t="shared" si="5"/>
        <v/>
      </c>
      <c r="V38" s="70" t="str">
        <f t="shared" si="6"/>
        <v/>
      </c>
    </row>
    <row r="39" spans="1:22" ht="18" customHeight="1">
      <c r="A39" s="77" t="str">
        <f>IF($C$9="Data Not Entered On Set-Up Worksheet","",IF(OR(VLOOKUP($C$9,County_Lookup,24,FALSE)="",VLOOKUP($C$9,County_Lookup,24,FALSE)=0),"",VLOOKUP($C$9,County_Lookup,24,FALSE)))</f>
        <v/>
      </c>
      <c r="B39" s="222"/>
      <c r="C39" s="224"/>
      <c r="D39" s="224"/>
      <c r="E39" s="222"/>
      <c r="F39" s="61"/>
      <c r="G39" s="318" t="str">
        <f t="shared" ref="G39" si="8">IF($A39="","",IF($F39=0,0,B39/$F39))</f>
        <v/>
      </c>
      <c r="H39" s="70" t="str">
        <f t="shared" ref="H39" si="9">IF($A39="","",IF($F39=0,0,E39/$F39))</f>
        <v/>
      </c>
      <c r="I39" s="222"/>
      <c r="J39" s="224"/>
      <c r="K39" s="224"/>
      <c r="L39" s="222"/>
      <c r="M39" s="61"/>
      <c r="N39" s="318" t="str">
        <f t="shared" ref="N39" si="10">IF($A39="","",IF($M39=0,0,I39/$M39))</f>
        <v/>
      </c>
      <c r="O39" s="70" t="str">
        <f t="shared" ref="O39" si="11">IF($A39="","",IF($M39=0,0,L39/$M39))</f>
        <v/>
      </c>
      <c r="P39" s="222"/>
      <c r="Q39" s="224"/>
      <c r="R39" s="224"/>
      <c r="S39" s="222"/>
      <c r="T39" s="61"/>
      <c r="U39" s="318" t="str">
        <f t="shared" ref="U39" si="12">IF($A39="","",IF($T39=0,0,P39/$T39))</f>
        <v/>
      </c>
      <c r="V39" s="70" t="str">
        <f t="shared" ref="V39" si="13">IF($A39="","",IF($T39=0,0,S39/$T39))</f>
        <v/>
      </c>
    </row>
    <row r="40" spans="1:22" ht="18" customHeight="1">
      <c r="A40" s="77" t="str">
        <f>IF($C$9="Data Not Entered On Set-Up Worksheet","",IF(OR(VLOOKUP($C$9,County_Lookup,25,FALSE)="",VLOOKUP($C$9,County_Lookup,25,FALSE)=0),"",VLOOKUP($C$9,County_Lookup,25,FALSE)))</f>
        <v/>
      </c>
      <c r="B40" s="222"/>
      <c r="C40" s="224"/>
      <c r="D40" s="224"/>
      <c r="E40" s="222"/>
      <c r="F40" s="61"/>
      <c r="G40" s="318" t="str">
        <f t="shared" si="2"/>
        <v/>
      </c>
      <c r="H40" s="70" t="str">
        <f t="shared" si="7"/>
        <v/>
      </c>
      <c r="I40" s="222"/>
      <c r="J40" s="224"/>
      <c r="K40" s="224"/>
      <c r="L40" s="222"/>
      <c r="M40" s="61"/>
      <c r="N40" s="318" t="str">
        <f t="shared" si="3"/>
        <v/>
      </c>
      <c r="O40" s="70" t="str">
        <f t="shared" si="4"/>
        <v/>
      </c>
      <c r="P40" s="222"/>
      <c r="Q40" s="224"/>
      <c r="R40" s="224"/>
      <c r="S40" s="222"/>
      <c r="T40" s="61"/>
      <c r="U40" s="318" t="str">
        <f t="shared" si="5"/>
        <v/>
      </c>
      <c r="V40" s="70" t="str">
        <f t="shared" si="6"/>
        <v/>
      </c>
    </row>
    <row r="41" spans="1:22" ht="18" customHeight="1" thickBot="1">
      <c r="A41" s="78" t="s">
        <v>0</v>
      </c>
      <c r="B41" s="223">
        <f t="shared" ref="B41:D41" si="14">SUM(B17:B40)</f>
        <v>0</v>
      </c>
      <c r="C41" s="72">
        <f t="shared" si="14"/>
        <v>0</v>
      </c>
      <c r="D41" s="72">
        <f t="shared" si="14"/>
        <v>0</v>
      </c>
      <c r="E41" s="317">
        <f>SUM(E17:E40)</f>
        <v>0</v>
      </c>
      <c r="F41" s="72">
        <f>SUM(F17:F40)</f>
        <v>0</v>
      </c>
      <c r="G41" s="319">
        <f t="shared" si="2"/>
        <v>0</v>
      </c>
      <c r="H41" s="73">
        <f>IF($A41="","",IF($F41=0,0,E41/$F41))</f>
        <v>0</v>
      </c>
      <c r="I41" s="223">
        <f t="shared" ref="I41" si="15">SUM(I17:I40)</f>
        <v>0</v>
      </c>
      <c r="J41" s="72">
        <f t="shared" ref="J41" si="16">SUM(J17:J40)</f>
        <v>0</v>
      </c>
      <c r="K41" s="72">
        <f t="shared" ref="K41" si="17">SUM(K17:K40)</f>
        <v>0</v>
      </c>
      <c r="L41" s="317">
        <f>SUM(L17:L40)</f>
        <v>0</v>
      </c>
      <c r="M41" s="72">
        <f>SUM(M17:M40)</f>
        <v>0</v>
      </c>
      <c r="N41" s="319">
        <f t="shared" si="3"/>
        <v>0</v>
      </c>
      <c r="O41" s="73">
        <f t="shared" si="4"/>
        <v>0</v>
      </c>
      <c r="P41" s="223">
        <f t="shared" ref="P41" si="18">SUM(P17:P40)</f>
        <v>0</v>
      </c>
      <c r="Q41" s="72">
        <f t="shared" ref="Q41" si="19">SUM(Q17:Q40)</f>
        <v>0</v>
      </c>
      <c r="R41" s="72">
        <f t="shared" ref="R41" si="20">SUM(R17:R40)</f>
        <v>0</v>
      </c>
      <c r="S41" s="317">
        <f>SUM(S17:S40)</f>
        <v>0</v>
      </c>
      <c r="T41" s="72">
        <f>SUM(T17:T40)</f>
        <v>0</v>
      </c>
      <c r="U41" s="319">
        <f t="shared" si="5"/>
        <v>0</v>
      </c>
      <c r="V41" s="73">
        <f t="shared" si="6"/>
        <v>0</v>
      </c>
    </row>
    <row r="43" spans="1:22">
      <c r="B43" s="60" t="s">
        <v>471</v>
      </c>
      <c r="C43" s="60"/>
      <c r="D43" s="60"/>
      <c r="E43" s="60"/>
      <c r="F43" s="60"/>
      <c r="G43" s="60"/>
      <c r="H43" s="60"/>
      <c r="I43" s="60" t="s">
        <v>472</v>
      </c>
      <c r="J43" s="60"/>
      <c r="K43" s="60"/>
      <c r="L43" s="60"/>
      <c r="M43" s="60"/>
      <c r="N43" s="60"/>
      <c r="O43" s="60"/>
      <c r="P43" s="60" t="s">
        <v>473</v>
      </c>
    </row>
  </sheetData>
  <sheetProtection sheet="1" objects="1" scenarios="1"/>
  <conditionalFormatting sqref="G3:G4 C3:C4 G9 C9 G11 C11 E11">
    <cfRule type="expression" dxfId="362" priority="71">
      <formula>C3="Data Not Entered On Set-Up Worksheet"</formula>
    </cfRule>
  </conditionalFormatting>
  <conditionalFormatting sqref="F12:G12">
    <cfRule type="expression" dxfId="361" priority="69">
      <formula>F12="Data Not Entered On Set-Up Worksheet"</formula>
    </cfRule>
  </conditionalFormatting>
  <conditionalFormatting sqref="N3:N4 J3:J4 N9 J9 N11 J11 L11">
    <cfRule type="expression" dxfId="360" priority="11">
      <formula>J3="Data Not Entered On Set-Up Worksheet"</formula>
    </cfRule>
  </conditionalFormatting>
  <conditionalFormatting sqref="M12:N12">
    <cfRule type="expression" dxfId="359" priority="10">
      <formula>M12="Data Not Entered On Set-Up Worksheet"</formula>
    </cfRule>
  </conditionalFormatting>
  <conditionalFormatting sqref="I17:M40">
    <cfRule type="expression" dxfId="358" priority="9">
      <formula>AND($A17&lt;&gt;"",I17="")</formula>
    </cfRule>
  </conditionalFormatting>
  <conditionalFormatting sqref="U3:U4 Q3:Q4 U9 Q9 U11 Q11 S11">
    <cfRule type="expression" dxfId="357" priority="8">
      <formula>Q3="Data Not Entered On Set-Up Worksheet"</formula>
    </cfRule>
  </conditionalFormatting>
  <conditionalFormatting sqref="T12:U12">
    <cfRule type="expression" dxfId="356" priority="7">
      <formula>T12="Data Not Entered On Set-Up Worksheet"</formula>
    </cfRule>
  </conditionalFormatting>
  <conditionalFormatting sqref="P17:T40">
    <cfRule type="expression" dxfId="355" priority="6">
      <formula>AND($A17&lt;&gt;"",P17="")</formula>
    </cfRule>
  </conditionalFormatting>
  <conditionalFormatting sqref="E12">
    <cfRule type="expression" dxfId="354" priority="5">
      <formula>E12="Data Not Entered On Set-Up Worksheet"</formula>
    </cfRule>
  </conditionalFormatting>
  <conditionalFormatting sqref="P39:T39">
    <cfRule type="expression" dxfId="353" priority="2">
      <formula>AND($A39&lt;&gt;"",P39="")</formula>
    </cfRule>
  </conditionalFormatting>
  <conditionalFormatting sqref="B17:F40">
    <cfRule type="expression" dxfId="352" priority="1">
      <formula>$A17="Other"</formula>
    </cfRule>
    <cfRule type="expression" dxfId="351" priority="12">
      <formula>AND($A17&lt;&gt;"",B17="")</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57</vt:i4>
      </vt:variant>
    </vt:vector>
  </HeadingPairs>
  <TitlesOfParts>
    <vt:vector size="99" baseType="lpstr">
      <vt:lpstr>Set-Up Worksheet</vt:lpstr>
      <vt:lpstr>Prevention 1.1</vt:lpstr>
      <vt:lpstr>Access 2.1</vt:lpstr>
      <vt:lpstr>Access 2.2</vt:lpstr>
      <vt:lpstr>Access 2.3</vt:lpstr>
      <vt:lpstr>Penetration 3.1</vt:lpstr>
      <vt:lpstr>Penetration 3.2</vt:lpstr>
      <vt:lpstr>Initiation-Engagement 4.1.a</vt:lpstr>
      <vt:lpstr>Initiation-Engagement 4.1.b</vt:lpstr>
      <vt:lpstr>Initiation-Engagement 4.2.a</vt:lpstr>
      <vt:lpstr>Initiation-Engagement 4.2.b</vt:lpstr>
      <vt:lpstr>Crisis &amp; Inpatient 5.1</vt:lpstr>
      <vt:lpstr>Crisis &amp; Inpatient 5.2</vt:lpstr>
      <vt:lpstr>Crisis &amp; Inpatient 5.3</vt:lpstr>
      <vt:lpstr>Crisis &amp; Inpatient 5.4</vt:lpstr>
      <vt:lpstr>Crisis &amp; Inpatient 5.5</vt:lpstr>
      <vt:lpstr>Crisis &amp; Inpatient 5.6</vt:lpstr>
      <vt:lpstr>Crisis &amp; Inpatient 5.7.a</vt:lpstr>
      <vt:lpstr>Crisis &amp; Inpatient 5.7.b</vt:lpstr>
      <vt:lpstr>Crisis &amp; Inpatient 5.7.c</vt:lpstr>
      <vt:lpstr>Crisis &amp; Inpatient 5.7.d</vt:lpstr>
      <vt:lpstr>Crisis &amp; Inpatient 5.8</vt:lpstr>
      <vt:lpstr>Crisis &amp; Inpatient 5.9.a</vt:lpstr>
      <vt:lpstr>Crisis &amp; Inpatient 5.9.b</vt:lpstr>
      <vt:lpstr>Crisis &amp; Inpatient 5.9.c</vt:lpstr>
      <vt:lpstr>Continuity Of Care 6.1</vt:lpstr>
      <vt:lpstr>Continuity Of Care 6.2</vt:lpstr>
      <vt:lpstr>Continuity Of Care 6.3</vt:lpstr>
      <vt:lpstr>Continuity Of Care 6.4</vt:lpstr>
      <vt:lpstr>Continuity Of Care 6.5</vt:lpstr>
      <vt:lpstr>Continuity of Care 6.6</vt:lpstr>
      <vt:lpstr>Report Schedule</vt:lpstr>
      <vt:lpstr>Report Schedule (2)</vt:lpstr>
      <vt:lpstr>Uninsured By County SFY2014</vt:lpstr>
      <vt:lpstr>Pivot Table-Uninsured SFY2014</vt:lpstr>
      <vt:lpstr>Uninsured By County SFY2015</vt:lpstr>
      <vt:lpstr>Pivot Table-Uninsured SFY2015</vt:lpstr>
      <vt:lpstr>Uninsured By County SFY2016</vt:lpstr>
      <vt:lpstr>Pivot Table-Uninsured SFY2016</vt:lpstr>
      <vt:lpstr>Uninsured By County SFY2017</vt:lpstr>
      <vt:lpstr>Pivot Table-Uninsured SFY2017</vt:lpstr>
      <vt:lpstr>Data Validation</vt:lpstr>
      <vt:lpstr>County_Lookup</vt:lpstr>
      <vt:lpstr>County_Lookup_MC</vt:lpstr>
      <vt:lpstr>'Uninsured By County SFY2014'!LME</vt:lpstr>
      <vt:lpstr>'Uninsured By County SFY2015'!LME</vt:lpstr>
      <vt:lpstr>'Uninsured By County SFY2016'!LME</vt:lpstr>
      <vt:lpstr>'Uninsured By County SFY2017'!LME</vt:lpstr>
      <vt:lpstr>LME_MCO</vt:lpstr>
      <vt:lpstr>'Initiation-Engagement 4.1.a'!Print_Area</vt:lpstr>
      <vt:lpstr>'Initiation-Engagement 4.2.a'!Print_Area</vt:lpstr>
      <vt:lpstr>'Pivot Table-Uninsured SFY2016'!Print_Area</vt:lpstr>
      <vt:lpstr>'Pivot Table-Uninsured SFY2017'!Print_Area</vt:lpstr>
      <vt:lpstr>'Report Schedule'!Print_Area</vt:lpstr>
      <vt:lpstr>'Report Schedule (2)'!Print_Area</vt:lpstr>
      <vt:lpstr>'Set-Up Worksheet'!Print_Area</vt:lpstr>
      <vt:lpstr>'Uninsured By County SFY2014'!Print_Area</vt:lpstr>
      <vt:lpstr>'Uninsured By County SFY2015'!Print_Area</vt:lpstr>
      <vt:lpstr>'Uninsured By County SFY2016'!Print_Area</vt:lpstr>
      <vt:lpstr>'Uninsured By County SFY2017'!Print_Area</vt:lpstr>
      <vt:lpstr>'Access 2.3'!Print_Titles</vt:lpstr>
      <vt:lpstr>'Continuity Of Care 6.2'!Print_Titles</vt:lpstr>
      <vt:lpstr>'Continuity Of Care 6.4'!Print_Titles</vt:lpstr>
      <vt:lpstr>'Continuity Of Care 6.5'!Print_Titles</vt:lpstr>
      <vt:lpstr>'Continuity of Care 6.6'!Print_Titles</vt:lpstr>
      <vt:lpstr>'Crisis &amp; Inpatient 5.3'!Print_Titles</vt:lpstr>
      <vt:lpstr>'Crisis &amp; Inpatient 5.4'!Print_Titles</vt:lpstr>
      <vt:lpstr>'Crisis &amp; Inpatient 5.5'!Print_Titles</vt:lpstr>
      <vt:lpstr>'Crisis &amp; Inpatient 5.7.a'!Print_Titles</vt:lpstr>
      <vt:lpstr>'Crisis &amp; Inpatient 5.7.b'!Print_Titles</vt:lpstr>
      <vt:lpstr>'Crisis &amp; Inpatient 5.7.c'!Print_Titles</vt:lpstr>
      <vt:lpstr>'Crisis &amp; Inpatient 5.7.d'!Print_Titles</vt:lpstr>
      <vt:lpstr>'Crisis &amp; Inpatient 5.9.a'!Print_Titles</vt:lpstr>
      <vt:lpstr>'Crisis &amp; Inpatient 5.9.b'!Print_Titles</vt:lpstr>
      <vt:lpstr>'Crisis &amp; Inpatient 5.9.c'!Print_Titles</vt:lpstr>
      <vt:lpstr>'Initiation-Engagement 4.1.a'!Print_Titles</vt:lpstr>
      <vt:lpstr>'Initiation-Engagement 4.1.b'!Print_Titles</vt:lpstr>
      <vt:lpstr>'Initiation-Engagement 4.2.a'!Print_Titles</vt:lpstr>
      <vt:lpstr>'Initiation-Engagement 4.2.b'!Print_Titles</vt:lpstr>
      <vt:lpstr>'Penetration 3.1'!Print_Titles</vt:lpstr>
      <vt:lpstr>'Penetration 3.2'!Print_Titles</vt:lpstr>
      <vt:lpstr>'Pivot Table-Uninsured SFY2014'!Print_Titles</vt:lpstr>
      <vt:lpstr>'Pivot Table-Uninsured SFY2015'!Print_Titles</vt:lpstr>
      <vt:lpstr>'Pivot Table-Uninsured SFY2016'!Print_Titles</vt:lpstr>
      <vt:lpstr>'Pivot Table-Uninsured SFY2017'!Print_Titles</vt:lpstr>
      <vt:lpstr>'Uninsured By County SFY2014'!Print_Titles</vt:lpstr>
      <vt:lpstr>'Uninsured By County SFY2015'!Print_Titles</vt:lpstr>
      <vt:lpstr>'Uninsured By County SFY2016'!Print_Titles</vt:lpstr>
      <vt:lpstr>'Uninsured By County SFY2017'!Print_Titles</vt:lpstr>
      <vt:lpstr>SA_EBP</vt:lpstr>
      <vt:lpstr>SA_EBP_Lookup</vt:lpstr>
      <vt:lpstr>SA_Prevention_Pop_2014</vt:lpstr>
      <vt:lpstr>SA_Prevention_Pop_2015</vt:lpstr>
      <vt:lpstr>SA_Prevention_Pop_2016</vt:lpstr>
      <vt:lpstr>SA_Prevention_Pop_2017</vt:lpstr>
      <vt:lpstr>Uninsured_SFY2014</vt:lpstr>
      <vt:lpstr>Uninsured_SFY2015</vt:lpstr>
      <vt:lpstr>Uninsured_SFY2016</vt:lpstr>
      <vt:lpstr>Uninsured_SFY2017</vt:lpstr>
    </vt:vector>
  </TitlesOfParts>
  <Company>NC DHHS DMH/DD/SAS-CPM-QMT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Michael Schwartz</cp:lastModifiedBy>
  <cp:lastPrinted>2016-09-19T16:26:12Z</cp:lastPrinted>
  <dcterms:created xsi:type="dcterms:W3CDTF">2006-10-06T20:30:56Z</dcterms:created>
  <dcterms:modified xsi:type="dcterms:W3CDTF">2016-09-19T16:31:42Z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